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ematjonov\Desktop\Finist invest МЧЖ\"/>
    </mc:Choice>
  </mc:AlternateContent>
  <xr:revisionPtr revIDLastSave="0" documentId="13_ncr:1_{0B7C4182-B10E-4B6D-9DCD-D5D0260FCB4D}" xr6:coauthVersionLast="44" xr6:coauthVersionMax="46" xr10:uidLastSave="{00000000-0000-0000-0000-000000000000}"/>
  <bookViews>
    <workbookView xWindow="-120" yWindow="-120" windowWidth="29040" windowHeight="15840" tabRatio="881" firstSheet="2" activeTab="2" xr2:uid="{B47F8076-B47B-4B11-9803-4D79389B06E5}"/>
  </bookViews>
  <sheets>
    <sheet name="ПаспортRUS" sheetId="17" state="hidden" r:id="rId1"/>
    <sheet name="ТЭП" sheetId="19" state="hidden" r:id="rId2"/>
    <sheet name="ПаспортРУС" sheetId="37" r:id="rId3"/>
    <sheet name="ПаспортEng" sheetId="38" r:id="rId4"/>
    <sheet name="CashFlow" sheetId="9" state="hidden" r:id="rId5"/>
    <sheet name="NPV-IRR-PI-PP (2)" sheetId="18" state="hidden" r:id="rId6"/>
    <sheet name="1" sheetId="20"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 localSheetId="0">#REF!</definedName>
    <definedName name="\">#REF!</definedName>
    <definedName name="\a">#N/A</definedName>
    <definedName name="\b">#N/A</definedName>
    <definedName name="\p">#N/A</definedName>
    <definedName name="\z">#N/A</definedName>
    <definedName name="_????" localSheetId="0">#REF!</definedName>
    <definedName name="_????">#REF!</definedName>
    <definedName name="__????" localSheetId="0">#REF!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5" hidden="1">{"'Monthly 1997'!$A$3:$S$89"}</definedName>
    <definedName name="__________________________________a12" localSheetId="0"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0" hidden="1">#REF!</definedName>
    <definedName name="________________________________A1" hidden="1">#REF!</definedName>
    <definedName name="________________________________a12" localSheetId="5" hidden="1">{"'Monthly 1997'!$A$3:$S$89"}</definedName>
    <definedName name="________________________________a12" localSheetId="0" hidden="1">{"'Monthly 1997'!$A$3:$S$89"}</definedName>
    <definedName name="________________________________a12" hidden="1">{"'Monthly 1997'!$A$3:$S$89"}</definedName>
    <definedName name="________________________________xlfn.BAHTTEXT" hidden="1">#NAME?</definedName>
    <definedName name="_______________________________A1" localSheetId="0" hidden="1">#REF!</definedName>
    <definedName name="_______________________________A1" hidden="1">#REF!</definedName>
    <definedName name="_______________________________xlfn.BAHTTEXT" hidden="1">#NAME?</definedName>
    <definedName name="______________________________a12" localSheetId="5" hidden="1">{"'Monthly 1997'!$A$3:$S$89"}</definedName>
    <definedName name="______________________________a12" localSheetId="0" hidden="1">{"'Monthly 1997'!$A$3:$S$89"}</definedName>
    <definedName name="______________________________a12" hidden="1">{"'Monthly 1997'!$A$3:$S$89"}</definedName>
    <definedName name="______________________________xlfn.BAHTTEXT" hidden="1">#NAME?</definedName>
    <definedName name="_____________________________A1" localSheetId="0" hidden="1">#REF!</definedName>
    <definedName name="_____________________________A1" hidden="1">#REF!</definedName>
    <definedName name="_____________________________xlfn.BAHTTEXT" hidden="1">#NAME?</definedName>
    <definedName name="____________________________A1" localSheetId="0" hidden="1">#REF!</definedName>
    <definedName name="____________________________A1" hidden="1">#REF!</definedName>
    <definedName name="____________________________a12" localSheetId="5" hidden="1">{"'Monthly 1997'!$A$3:$S$89"}</definedName>
    <definedName name="____________________________a12" localSheetId="0"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0" hidden="1">#REF!</definedName>
    <definedName name="__________________________A1" hidden="1">#REF!</definedName>
    <definedName name="__________________________a12" localSheetId="5" hidden="1">{"'Monthly 1997'!$A$3:$S$89"}</definedName>
    <definedName name="__________________________a12" localSheetId="0" hidden="1">{"'Monthly 1997'!$A$3:$S$89"}</definedName>
    <definedName name="__________________________a12" hidden="1">{"'Monthly 1997'!$A$3:$S$89"}</definedName>
    <definedName name="__________________________xlfn.BAHTTEXT" hidden="1">#NAME?</definedName>
    <definedName name="_________________________A1" localSheetId="0" hidden="1">#REF!</definedName>
    <definedName name="_________________________A1" hidden="1">#REF!</definedName>
    <definedName name="_________________________a12" localSheetId="5" hidden="1">{"'Monthly 1997'!$A$3:$S$89"}</definedName>
    <definedName name="_________________________a12" localSheetId="0"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0" hidden="1">#REF!</definedName>
    <definedName name="________________________A1" hidden="1">#REF!</definedName>
    <definedName name="________________________A65900" localSheetId="0">#REF!</definedName>
    <definedName name="________________________A65900">#REF!</definedName>
    <definedName name="________________________xlfn.BAHTTEXT" hidden="1">#NAME?</definedName>
    <definedName name="_______________________A1" localSheetId="0" hidden="1">#REF!</definedName>
    <definedName name="_______________________A1" hidden="1">#REF!</definedName>
    <definedName name="_______________________A65555" localSheetId="0">#REF!</definedName>
    <definedName name="_______________________A65555">#REF!</definedName>
    <definedName name="_______________________A65655" localSheetId="0">#REF!</definedName>
    <definedName name="_______________________A65655">#REF!</definedName>
    <definedName name="_______________________A65900">#REF!</definedName>
    <definedName name="_______________________xlfn.BAHTTEXT" hidden="1">#NAME?</definedName>
    <definedName name="______________________A1" localSheetId="0" hidden="1">#REF!</definedName>
    <definedName name="______________________A1" hidden="1">#REF!</definedName>
    <definedName name="______________________A65555" localSheetId="0">#REF!</definedName>
    <definedName name="______________________A65555">#REF!</definedName>
    <definedName name="______________________A65655" localSheetId="0">#REF!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0" hidden="1">#REF!</definedName>
    <definedName name="_____________________A1" hidden="1">#REF!</definedName>
    <definedName name="_____________________a12" localSheetId="5" hidden="1">{"'Monthly 1997'!$A$3:$S$89"}</definedName>
    <definedName name="_____________________a12" localSheetId="0"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0" hidden="1">#REF!</definedName>
    <definedName name="____________________A1" hidden="1">#REF!</definedName>
    <definedName name="____________________a12" localSheetId="5" hidden="1">{"'Monthly 1997'!$A$3:$S$89"}</definedName>
    <definedName name="____________________a12" localSheetId="0"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0" hidden="1">#REF!</definedName>
    <definedName name="___________________A1" hidden="1">#REF!</definedName>
    <definedName name="___________________a12" localSheetId="5" hidden="1">{"'Monthly 1997'!$A$3:$S$89"}</definedName>
    <definedName name="___________________a12" localSheetId="0"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0" hidden="1">#REF!</definedName>
    <definedName name="__________________A1" hidden="1">#REF!</definedName>
    <definedName name="__________________a12" localSheetId="5" hidden="1">{"'Monthly 1997'!$A$3:$S$89"}</definedName>
    <definedName name="__________________a12" localSheetId="0"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0" hidden="1">#REF!</definedName>
    <definedName name="_________________A1" hidden="1">#REF!</definedName>
    <definedName name="_________________a12" localSheetId="5" hidden="1">{"'Monthly 1997'!$A$3:$S$89"}</definedName>
    <definedName name="_________________a12" localSheetId="0"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0" hidden="1">#REF!</definedName>
    <definedName name="________________A1" hidden="1">#REF!</definedName>
    <definedName name="________________a12" localSheetId="5" hidden="1">{"'Monthly 1997'!$A$3:$S$89"}</definedName>
    <definedName name="________________a12" localSheetId="0"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5" hidden="1">{"'Monthly 1997'!$A$3:$S$89"}</definedName>
    <definedName name="_______________a12" localSheetId="0"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0" hidden="1">#REF!</definedName>
    <definedName name="______________A1" hidden="1">#REF!</definedName>
    <definedName name="______________A65555" localSheetId="0">#REF!</definedName>
    <definedName name="______________A65555">#REF!</definedName>
    <definedName name="______________A65655" localSheetId="0">#REF!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0" hidden="1">#REF!</definedName>
    <definedName name="_____________A1" hidden="1">#REF!</definedName>
    <definedName name="_____________a12" localSheetId="5" hidden="1">{"'Monthly 1997'!$A$3:$S$89"}</definedName>
    <definedName name="_____________a12" localSheetId="0"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0" hidden="1">#REF!</definedName>
    <definedName name="____________A1" hidden="1">#REF!</definedName>
    <definedName name="____________a12" localSheetId="5" hidden="1">{"'Monthly 1997'!$A$3:$S$89"}</definedName>
    <definedName name="____________a12" localSheetId="0"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0" hidden="1">#REF!</definedName>
    <definedName name="___________A1" hidden="1">#REF!</definedName>
    <definedName name="___________a12" localSheetId="5" hidden="1">{"'Monthly 1997'!$A$3:$S$89"}</definedName>
    <definedName name="___________a12" localSheetId="0"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0" hidden="1">#REF!</definedName>
    <definedName name="__________A1" hidden="1">#REF!</definedName>
    <definedName name="__________a12" localSheetId="5" hidden="1">{"'Monthly 1997'!$A$3:$S$89"}</definedName>
    <definedName name="__________a12" localSheetId="0"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0" hidden="1">#REF!</definedName>
    <definedName name="_________A1" hidden="1">#REF!</definedName>
    <definedName name="_________a12" localSheetId="5" hidden="1">{"'Monthly 1997'!$A$3:$S$89"}</definedName>
    <definedName name="_________a12" localSheetId="0"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0" hidden="1">#REF!</definedName>
    <definedName name="________A1" hidden="1">#REF!</definedName>
    <definedName name="________a12" localSheetId="5" hidden="1">{"'Monthly 1997'!$A$3:$S$89"}</definedName>
    <definedName name="________a12" localSheetId="0"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0" hidden="1">#REF!</definedName>
    <definedName name="_______A1" hidden="1">#REF!</definedName>
    <definedName name="_______a12" localSheetId="5" hidden="1">{"'Monthly 1997'!$A$3:$S$89"}</definedName>
    <definedName name="_______a12" localSheetId="0"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5" hidden="1">{#N/A,#N/A,FALSE,"인원";#N/A,#N/A,FALSE,"비용2";#N/A,#N/A,FALSE,"비용1";#N/A,#N/A,FALSE,"비용";#N/A,#N/A,FALSE,"보증2";#N/A,#N/A,FALSE,"보증1";#N/A,#N/A,FALSE,"보증";#N/A,#N/A,FALSE,"손익1";#N/A,#N/A,FALSE,"손익";#N/A,#N/A,FALSE,"부서별매출";#N/A,#N/A,FALSE,"매출"}</definedName>
    <definedName name="_______AT1" localSheetId="0"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5" hidden="1">{#N/A,#N/A,FALSE,"인원";#N/A,#N/A,FALSE,"비용2";#N/A,#N/A,FALSE,"비용1";#N/A,#N/A,FALSE,"비용";#N/A,#N/A,FALSE,"보증2";#N/A,#N/A,FALSE,"보증1";#N/A,#N/A,FALSE,"보증";#N/A,#N/A,FALSE,"손익1";#N/A,#N/A,FALSE,"손익";#N/A,#N/A,FALSE,"부서별매출";#N/A,#N/A,FALSE,"매출"}</definedName>
    <definedName name="_______AT3" localSheetId="0"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5" hidden="1">{#N/A,#N/A,FALSE,"인원";#N/A,#N/A,FALSE,"비용2";#N/A,#N/A,FALSE,"비용1";#N/A,#N/A,FALSE,"비용";#N/A,#N/A,FALSE,"보증2";#N/A,#N/A,FALSE,"보증1";#N/A,#N/A,FALSE,"보증";#N/A,#N/A,FALSE,"손익1";#N/A,#N/A,FALSE,"손익";#N/A,#N/A,FALSE,"부서별매출";#N/A,#N/A,FALSE,"매출"}</definedName>
    <definedName name="_______J200" localSheetId="0"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0">{30,140,350,160,"",""}</definedName>
    <definedName name="_______top1">{30,140,350,160,"",""}</definedName>
    <definedName name="_______tt1" localSheetId="5" hidden="1">{#N/A,#N/A,TRUE,"일정"}</definedName>
    <definedName name="_______tt1" localSheetId="0" hidden="1">{#N/A,#N/A,TRUE,"일정"}</definedName>
    <definedName name="_______tt1" hidden="1">{#N/A,#N/A,TRUE,"일정"}</definedName>
    <definedName name="_______xlfn.BAHTTEXT" hidden="1">#NAME?</definedName>
    <definedName name="______A1" localSheetId="0" hidden="1">#REF!</definedName>
    <definedName name="______A1" hidden="1">#REF!</definedName>
    <definedName name="______a12" localSheetId="5" hidden="1">{"'Monthly 1997'!$A$3:$S$89"}</definedName>
    <definedName name="______a12" localSheetId="0"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5" hidden="1">{#N/A,#N/A,FALSE,"인원";#N/A,#N/A,FALSE,"비용2";#N/A,#N/A,FALSE,"비용1";#N/A,#N/A,FALSE,"비용";#N/A,#N/A,FALSE,"보증2";#N/A,#N/A,FALSE,"보증1";#N/A,#N/A,FALSE,"보증";#N/A,#N/A,FALSE,"손익1";#N/A,#N/A,FALSE,"손익";#N/A,#N/A,FALSE,"부서별매출";#N/A,#N/A,FALSE,"매출"}</definedName>
    <definedName name="______AT1" localSheetId="0"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5" hidden="1">{#N/A,#N/A,FALSE,"인원";#N/A,#N/A,FALSE,"비용2";#N/A,#N/A,FALSE,"비용1";#N/A,#N/A,FALSE,"비용";#N/A,#N/A,FALSE,"보증2";#N/A,#N/A,FALSE,"보증1";#N/A,#N/A,FALSE,"보증";#N/A,#N/A,FALSE,"손익1";#N/A,#N/A,FALSE,"손익";#N/A,#N/A,FALSE,"부서별매출";#N/A,#N/A,FALSE,"매출"}</definedName>
    <definedName name="______AT3" localSheetId="0"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5" hidden="1">{#N/A,#N/A,FALSE,"인원";#N/A,#N/A,FALSE,"비용2";#N/A,#N/A,FALSE,"비용1";#N/A,#N/A,FALSE,"비용";#N/A,#N/A,FALSE,"보증2";#N/A,#N/A,FALSE,"보증1";#N/A,#N/A,FALSE,"보증";#N/A,#N/A,FALSE,"손익1";#N/A,#N/A,FALSE,"손익";#N/A,#N/A,FALSE,"부서별매출";#N/A,#N/A,FALSE,"매출"}</definedName>
    <definedName name="______J200" localSheetId="0"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0">{30,140,350,160,"",""}</definedName>
    <definedName name="______top1">{30,140,350,160,"",""}</definedName>
    <definedName name="______tt1" localSheetId="5" hidden="1">{#N/A,#N/A,TRUE,"일정"}</definedName>
    <definedName name="______tt1" localSheetId="0" hidden="1">{#N/A,#N/A,TRUE,"일정"}</definedName>
    <definedName name="______tt1" hidden="1">{#N/A,#N/A,TRUE,"일정"}</definedName>
    <definedName name="______xlfn.BAHTTEXT" hidden="1">#NAME?</definedName>
    <definedName name="_____A1" localSheetId="0" hidden="1">#REF!</definedName>
    <definedName name="_____A1" hidden="1">#REF!</definedName>
    <definedName name="_____a12" localSheetId="5" hidden="1">{"'Monthly 1997'!$A$3:$S$89"}</definedName>
    <definedName name="_____a12" localSheetId="0"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5" hidden="1">{#N/A,#N/A,FALSE,"인원";#N/A,#N/A,FALSE,"비용2";#N/A,#N/A,FALSE,"비용1";#N/A,#N/A,FALSE,"비용";#N/A,#N/A,FALSE,"보증2";#N/A,#N/A,FALSE,"보증1";#N/A,#N/A,FALSE,"보증";#N/A,#N/A,FALSE,"손익1";#N/A,#N/A,FALSE,"손익";#N/A,#N/A,FALSE,"부서별매출";#N/A,#N/A,FALSE,"매출"}</definedName>
    <definedName name="_____AT1" localSheetId="0"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5" hidden="1">{#N/A,#N/A,FALSE,"인원";#N/A,#N/A,FALSE,"비용2";#N/A,#N/A,FALSE,"비용1";#N/A,#N/A,FALSE,"비용";#N/A,#N/A,FALSE,"보증2";#N/A,#N/A,FALSE,"보증1";#N/A,#N/A,FALSE,"보증";#N/A,#N/A,FALSE,"손익1";#N/A,#N/A,FALSE,"손익";#N/A,#N/A,FALSE,"부서별매출";#N/A,#N/A,FALSE,"매출"}</definedName>
    <definedName name="_____AT3" localSheetId="0"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5" hidden="1">{#N/A,#N/A,FALSE,"인원";#N/A,#N/A,FALSE,"비용2";#N/A,#N/A,FALSE,"비용1";#N/A,#N/A,FALSE,"비용";#N/A,#N/A,FALSE,"보증2";#N/A,#N/A,FALSE,"보증1";#N/A,#N/A,FALSE,"보증";#N/A,#N/A,FALSE,"손익1";#N/A,#N/A,FALSE,"손익";#N/A,#N/A,FALSE,"부서별매출";#N/A,#N/A,FALSE,"매출"}</definedName>
    <definedName name="_____J200" localSheetId="0"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0">{30,140,350,160,"",""}</definedName>
    <definedName name="_____top1">{30,140,350,160,"",""}</definedName>
    <definedName name="_____tt1" localSheetId="5" hidden="1">{#N/A,#N/A,TRUE,"일정"}</definedName>
    <definedName name="_____tt1" localSheetId="0" hidden="1">{#N/A,#N/A,TRUE,"일정"}</definedName>
    <definedName name="_____tt1" hidden="1">{#N/A,#N/A,TRUE,"일정"}</definedName>
    <definedName name="_____tt195">#REF!</definedName>
    <definedName name="_____xlfn.BAHTTEXT" hidden="1">#NAME?</definedName>
    <definedName name="_____xlfn.RTD" hidden="1">#NAME?</definedName>
    <definedName name="____A1" localSheetId="0" hidden="1">#REF!</definedName>
    <definedName name="____A1" hidden="1">#REF!</definedName>
    <definedName name="____a12" localSheetId="5" hidden="1">{"'Monthly 1997'!$A$3:$S$89"}</definedName>
    <definedName name="____a12" localSheetId="0"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5" hidden="1">{#N/A,#N/A,FALSE,"인원";#N/A,#N/A,FALSE,"비용2";#N/A,#N/A,FALSE,"비용1";#N/A,#N/A,FALSE,"비용";#N/A,#N/A,FALSE,"보증2";#N/A,#N/A,FALSE,"보증1";#N/A,#N/A,FALSE,"보증";#N/A,#N/A,FALSE,"손익1";#N/A,#N/A,FALSE,"손익";#N/A,#N/A,FALSE,"부서별매출";#N/A,#N/A,FALSE,"매출"}</definedName>
    <definedName name="____AT1" localSheetId="0"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5" hidden="1">{#N/A,#N/A,FALSE,"인원";#N/A,#N/A,FALSE,"비용2";#N/A,#N/A,FALSE,"비용1";#N/A,#N/A,FALSE,"비용";#N/A,#N/A,FALSE,"보증2";#N/A,#N/A,FALSE,"보증1";#N/A,#N/A,FALSE,"보증";#N/A,#N/A,FALSE,"손익1";#N/A,#N/A,FALSE,"손익";#N/A,#N/A,FALSE,"부서별매출";#N/A,#N/A,FALSE,"매출"}</definedName>
    <definedName name="____AT3" localSheetId="0"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5" hidden="1">{#N/A,#N/A,FALSE,"인원";#N/A,#N/A,FALSE,"비용2";#N/A,#N/A,FALSE,"비용1";#N/A,#N/A,FALSE,"비용";#N/A,#N/A,FALSE,"보증2";#N/A,#N/A,FALSE,"보증1";#N/A,#N/A,FALSE,"보증";#N/A,#N/A,FALSE,"손익1";#N/A,#N/A,FALSE,"손익";#N/A,#N/A,FALSE,"부서별매출";#N/A,#N/A,FALSE,"매출"}</definedName>
    <definedName name="____J200" localSheetId="0"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0">#REF!,#REF!,#REF!,#REF!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0">{30,140,350,160,"",""}</definedName>
    <definedName name="____top1">{30,140,350,160,"",""}</definedName>
    <definedName name="____tt1" localSheetId="5" hidden="1">{#N/A,#N/A,TRUE,"일정"}</definedName>
    <definedName name="____tt1" localSheetId="0"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0" hidden="1">#REF!</definedName>
    <definedName name="___A1" hidden="1">#REF!</definedName>
    <definedName name="___a12" localSheetId="5" hidden="1">{"'Monthly 1997'!$A$3:$S$89"}</definedName>
    <definedName name="___a12" localSheetId="0"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5" hidden="1">{#N/A,#N/A,FALSE,"인원";#N/A,#N/A,FALSE,"비용2";#N/A,#N/A,FALSE,"비용1";#N/A,#N/A,FALSE,"비용";#N/A,#N/A,FALSE,"보증2";#N/A,#N/A,FALSE,"보증1";#N/A,#N/A,FALSE,"보증";#N/A,#N/A,FALSE,"손익1";#N/A,#N/A,FALSE,"손익";#N/A,#N/A,FALSE,"부서별매출";#N/A,#N/A,FALSE,"매출"}</definedName>
    <definedName name="___AT1" localSheetId="0"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5" hidden="1">{#N/A,#N/A,FALSE,"인원";#N/A,#N/A,FALSE,"비용2";#N/A,#N/A,FALSE,"비용1";#N/A,#N/A,FALSE,"비용";#N/A,#N/A,FALSE,"보증2";#N/A,#N/A,FALSE,"보증1";#N/A,#N/A,FALSE,"보증";#N/A,#N/A,FALSE,"손익1";#N/A,#N/A,FALSE,"손익";#N/A,#N/A,FALSE,"부서별매출";#N/A,#N/A,FALSE,"매출"}</definedName>
    <definedName name="___AT3" localSheetId="0"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5" hidden="1">{#N/A,#N/A,FALSE,"인원";#N/A,#N/A,FALSE,"비용2";#N/A,#N/A,FALSE,"비용1";#N/A,#N/A,FALSE,"비용";#N/A,#N/A,FALSE,"보증2";#N/A,#N/A,FALSE,"보증1";#N/A,#N/A,FALSE,"보증";#N/A,#N/A,FALSE,"손익1";#N/A,#N/A,FALSE,"손익";#N/A,#N/A,FALSE,"부서별매출";#N/A,#N/A,FALSE,"매출"}</definedName>
    <definedName name="___J200" localSheetId="0"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0">#REF!,#REF!,#REF!,#REF!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0">{30,140,350,160,"",""}</definedName>
    <definedName name="___top1">{30,140,350,160,"",""}</definedName>
    <definedName name="___tt1" localSheetId="5" hidden="1">{#N/A,#N/A,TRUE,"일정"}</definedName>
    <definedName name="___tt1" localSheetId="0"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hidden="1">#REF!</definedName>
    <definedName name="__a12" localSheetId="5" hidden="1">{"'Monthly 1997'!$A$3:$S$89"}</definedName>
    <definedName name="__a12" localSheetId="0"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5" hidden="1">{#N/A,#N/A,FALSE,"인원";#N/A,#N/A,FALSE,"비용2";#N/A,#N/A,FALSE,"비용1";#N/A,#N/A,FALSE,"비용";#N/A,#N/A,FALSE,"보증2";#N/A,#N/A,FALSE,"보증1";#N/A,#N/A,FALSE,"보증";#N/A,#N/A,FALSE,"손익1";#N/A,#N/A,FALSE,"손익";#N/A,#N/A,FALSE,"부서별매출";#N/A,#N/A,FALSE,"매출"}</definedName>
    <definedName name="__AT1" localSheetId="0"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5" hidden="1">{#N/A,#N/A,FALSE,"인원";#N/A,#N/A,FALSE,"비용2";#N/A,#N/A,FALSE,"비용1";#N/A,#N/A,FALSE,"비용";#N/A,#N/A,FALSE,"보증2";#N/A,#N/A,FALSE,"보증1";#N/A,#N/A,FALSE,"보증";#N/A,#N/A,FALSE,"손익1";#N/A,#N/A,FALSE,"손익";#N/A,#N/A,FALSE,"부서별매출";#N/A,#N/A,FALSE,"매출"}</definedName>
    <definedName name="__AT3" localSheetId="0"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5" hidden="1">{#N/A,#N/A,FALSE,"인원";#N/A,#N/A,FALSE,"비용2";#N/A,#N/A,FALSE,"비용1";#N/A,#N/A,FALSE,"비용";#N/A,#N/A,FALSE,"보증2";#N/A,#N/A,FALSE,"보증1";#N/A,#N/A,FALSE,"보증";#N/A,#N/A,FALSE,"손익1";#N/A,#N/A,FALSE,"손익";#N/A,#N/A,FALSE,"부서별매출";#N/A,#N/A,FALSE,"매출"}</definedName>
    <definedName name="__J200" localSheetId="0"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0">#REF!,#REF!,#REF!,#REF!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0">{30,140,350,160,"",""}</definedName>
    <definedName name="__top1">{30,140,350,160,"",""}</definedName>
    <definedName name="__tt1" localSheetId="5" hidden="1">{#N/A,#N/A,TRUE,"일정"}</definedName>
    <definedName name="__tt1" localSheetId="0"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hidden="1">#REF!</definedName>
    <definedName name="_a12" localSheetId="5" hidden="1">{"'Monthly 1997'!$A$3:$S$89"}</definedName>
    <definedName name="_a12" localSheetId="0" hidden="1">{"'Monthly 1997'!$A$3:$S$89"}</definedName>
    <definedName name="_a12" hidden="1">{"'Monthly 1997'!$A$3:$S$89"}</definedName>
    <definedName name="_a145">#REF!</definedName>
    <definedName name="_a146">#REF!</definedName>
    <definedName name="_a147">#REF!</definedName>
    <definedName name="_A20">#REF!</definedName>
    <definedName name="_A61" localSheetId="5" hidden="1">{#N/A,#N/A,FALSE,"BODY"}</definedName>
    <definedName name="_A61" localSheetId="0"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5">[0]!_a1Z,[0]!_a2Z</definedName>
    <definedName name="_aZ" localSheetId="3">[2]!_a1Z,[2]!_a2Z</definedName>
    <definedName name="_aZ" localSheetId="0">[0]!_a1Z,[0]!_a2Z</definedName>
    <definedName name="_aZ">[0]!_a1Z,[0]!_a2Z</definedName>
    <definedName name="_B100000" localSheetId="0">#REF!</definedName>
    <definedName name="_B100000">#REF!</definedName>
    <definedName name="_B699999">#N/A</definedName>
    <definedName name="_B80000" localSheetId="0">#REF!</definedName>
    <definedName name="_B80000">#REF!</definedName>
    <definedName name="_B99999" localSheetId="0">#REF!</definedName>
    <definedName name="_B99999">#REF!</definedName>
    <definedName name="_C65537" localSheetId="0">#REF!</definedName>
    <definedName name="_C65537">#REF!</definedName>
    <definedName name="_CT5">#REF!</definedName>
    <definedName name="_day3">#REF!</definedName>
    <definedName name="_day4">#REF!</definedName>
    <definedName name="_Dist_Bin" hidden="1">#REF!</definedName>
    <definedName name="_Dist_Values" hidden="1">#REF!</definedName>
    <definedName name="_Fill" hidden="1">#REF!</definedName>
    <definedName name="_FilterDatabase" hidden="1">#REF!</definedName>
    <definedName name="_J200" localSheetId="5" hidden="1">{#N/A,#N/A,FALSE,"인원";#N/A,#N/A,FALSE,"비용2";#N/A,#N/A,FALSE,"비용1";#N/A,#N/A,FALSE,"비용";#N/A,#N/A,FALSE,"보증2";#N/A,#N/A,FALSE,"보증1";#N/A,#N/A,FALSE,"보증";#N/A,#N/A,FALSE,"손익1";#N/A,#N/A,FALSE,"손익";#N/A,#N/A,FALSE,"부서별매출";#N/A,#N/A,FALSE,"매출"}</definedName>
    <definedName name="_J200" localSheetId="0"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hidden="1">#REF!</definedName>
    <definedName name="_MatInverse_Out" hidden="1">#REF!</definedName>
    <definedName name="_NFT1" localSheetId="0">#REF!,#REF!,#REF!,#REF!</definedName>
    <definedName name="_NFT1">#REF!,#REF!,#REF!,#REF!</definedName>
    <definedName name="_Order1" hidden="1">255</definedName>
    <definedName name="_Order2" hidden="1">0</definedName>
    <definedName name="_Per2">#N/A</definedName>
    <definedName name="_Sort" localSheetId="0"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0">{30,140,350,160,"",""}</definedName>
    <definedName name="_top1">{30,140,350,160,"",""}</definedName>
    <definedName name="_tt1" localSheetId="5" hidden="1">{#N/A,#N/A,TRUE,"일정"}</definedName>
    <definedName name="_tt1" localSheetId="0" hidden="1">{#N/A,#N/A,TRUE,"일정"}</definedName>
    <definedName name="_tt1" hidden="1">{#N/A,#N/A,TRUE,"일정"}</definedName>
    <definedName name="_tt195">#REF!</definedName>
    <definedName name="_TTT1">#REF!</definedName>
    <definedName name="_xlnm._FilterDatabase" localSheetId="0" hidden="1">#REF!</definedName>
    <definedName name="_xlnm._FilterDatabase" hidden="1">#REF!</definedName>
    <definedName name="a" localSheetId="0">{30,140,350,160,"",""}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[3]Лист3!$A$2:$C$611</definedName>
    <definedName name="aaaa" localSheetId="0">#REF!</definedName>
    <definedName name="aaaa">#REF!</definedName>
    <definedName name="aaasasf"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itevSummYearD">OFFSET([4]ДДС!$H$34,0,#REF!*12,1,12)</definedName>
    <definedName name="ACNT">#N/A</definedName>
    <definedName name="AcrilBox">#REF!</definedName>
    <definedName name="ad" localSheetId="0">{30,140,350,160,"",""}</definedName>
    <definedName name="ad">{30,140,350,160,"",""}</definedName>
    <definedName name="AE">#REF!</definedName>
    <definedName name="AE1148677">'[5]Жиззах янги раз'!#REF!</definedName>
    <definedName name="AE1148678">'[6]Жиззах янги раз'!#REF!</definedName>
    <definedName name="af" localSheetId="0">{30,140,350,160,"",""}</definedName>
    <definedName name="af">{30,140,350,160,"",""}</definedName>
    <definedName name="ag">#REF!</definedName>
    <definedName name="ah" localSheetId="0">{30,140,350,160,"",""}</definedName>
    <definedName name="ah">{30,140,350,160,"",""}</definedName>
    <definedName name="AI">#REF!</definedName>
    <definedName name="aj" localSheetId="0">{30,140,350,160,"",""}</definedName>
    <definedName name="aj">{30,140,350,160,"",""}</definedName>
    <definedName name="ak" localSheetId="0">{30,140,350,160,"",""}</definedName>
    <definedName name="ak">{30,140,350,160,"",""}</definedName>
    <definedName name="AKNO">#N/A</definedName>
    <definedName name="Akril">#REF!</definedName>
    <definedName name="AL">#REF!</definedName>
    <definedName name="ALL">#REF!</definedName>
    <definedName name="allll" localSheetId="0">TRUNC(([0]!oy-1)/3+1)</definedName>
    <definedName name="allll">TRUNC((oy-1)/3+1)</definedName>
    <definedName name="AM" localSheetId="0">#REF!</definedName>
    <definedName name="AM">#REF!</definedName>
    <definedName name="Ammiak_SSBox" localSheetId="0">#REF!</definedName>
    <definedName name="Ammiak_SSBox">#REF!</definedName>
    <definedName name="Ammiak3Box" localSheetId="0">#REF!</definedName>
    <definedName name="Ammiak3Box">#REF!</definedName>
    <definedName name="AmmiakBox">#REF!</definedName>
    <definedName name="amortizacSummYear">OFFSET('[4]прибыли и убытки'!$H$23,0,#REF!*12,1,12)</definedName>
    <definedName name="AmVodaBox">#REF!</definedName>
    <definedName name="AN">#REF!</definedName>
    <definedName name="and">#REF!</definedName>
    <definedName name="AO">#REF!</definedName>
    <definedName name="AP">#REF!</definedName>
    <definedName name="aq" localSheetId="0">{30,140,350,160,"",""}</definedName>
    <definedName name="aq">{30,140,350,160,"",""}</definedName>
    <definedName name="aqz"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0">{30,140,350,160,"",""}</definedName>
    <definedName name="as">{30,140,350,160,"",""}</definedName>
    <definedName name="asd" localSheetId="0">{30,140,350,160,"",""}</definedName>
    <definedName name="asd">{30,140,350,160,"",""}</definedName>
    <definedName name="asdasdawedwqd" localSheetId="0">{30,140,350,160,"",""}</definedName>
    <definedName name="asdasdawedwqd">{30,140,350,160,"",""}</definedName>
    <definedName name="ASDFASASF"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0">{30,140,350,160,"",""}</definedName>
    <definedName name="az">{30,140,350,160,"",""}</definedName>
    <definedName name="azbuka">#REF!</definedName>
    <definedName name="AzotPoj450Box">#REF!</definedName>
    <definedName name="b" localSheetId="0">{30,140,350,160,"",""}</definedName>
    <definedName name="b">{30,140,350,160,"",""}</definedName>
    <definedName name="b_">#REF!</definedName>
    <definedName name="B6999999">#N/A</definedName>
    <definedName name="BA">#REF!</definedName>
    <definedName name="BAC">#REF!</definedName>
    <definedName name="Baht">#REF!</definedName>
    <definedName name="Balans">[7]BAL!$A$1:$O$1858</definedName>
    <definedName name="Balans_9mesBox" localSheetId="0">#REF!</definedName>
    <definedName name="Balans_9mesBox">#REF!</definedName>
    <definedName name="baseVal">[4]начало!$E$13</definedName>
    <definedName name="BB" localSheetId="0">#REF!</definedName>
    <definedName name="BB">#REF!</definedName>
    <definedName name="bbb" localSheetId="0">#REF!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0">{30,140,350,160,"",""}</definedName>
    <definedName name="bn">{30,140,350,160,"",""}</definedName>
    <definedName name="BO">#REF!</definedName>
    <definedName name="BP">#N/A</definedName>
    <definedName name="BPU" localSheetId="0">#REF!,#REF!</definedName>
    <definedName name="BPU">#REF!,#REF!</definedName>
    <definedName name="BQ" localSheetId="0">#REF!</definedName>
    <definedName name="BQ">#REF!</definedName>
    <definedName name="BR" localSheetId="0">#REF!</definedName>
    <definedName name="BR">#REF!</definedName>
    <definedName name="BS" localSheetId="0">#REF!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0">{30,140,350,160,"",""}</definedName>
    <definedName name="bvc">{30,140,350,160,"",""}</definedName>
    <definedName name="bvhk" localSheetId="0">#REF!,#REF!,#REF!</definedName>
    <definedName name="bvhk">#REF!,#REF!,#REF!</definedName>
    <definedName name="BW" localSheetId="0">#REF!</definedName>
    <definedName name="BW">#REF!</definedName>
    <definedName name="BX" localSheetId="0">#REF!</definedName>
    <definedName name="BX">#REF!</definedName>
    <definedName name="BY" localSheetId="0">#REF!</definedName>
    <definedName name="BY">#REF!</definedName>
    <definedName name="BZ">#REF!</definedName>
    <definedName name="Bс37">#REF!</definedName>
    <definedName name="CA">#REF!</definedName>
    <definedName name="CaClBox">#REF!</definedName>
    <definedName name="can">#REF!</definedName>
    <definedName name="CAPA" localSheetId="5" hidden="1">{#N/A,#N/A,FALSE,"인원";#N/A,#N/A,FALSE,"비용2";#N/A,#N/A,FALSE,"비용1";#N/A,#N/A,FALSE,"비용";#N/A,#N/A,FALSE,"보증2";#N/A,#N/A,FALSE,"보증1";#N/A,#N/A,FALSE,"보증";#N/A,#N/A,FALSE,"손익1";#N/A,#N/A,FALSE,"손익";#N/A,#N/A,FALSE,"부서별매출";#N/A,#N/A,FALSE,"매출"}</definedName>
    <definedName name="CAPA" localSheetId="0"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enterRevSUMM">OFFSET('[4]расчёт итоги'!$H1048539,0,#REF!*12,1,12)</definedName>
    <definedName name="CF">#REF!</definedName>
    <definedName name="CG">#REF!</definedName>
    <definedName name="ch" localSheetId="0">TRUNC(([0]!oy-1)/3+1)</definedName>
    <definedName name="ch">TRUNC((oy-1)/3+1)</definedName>
    <definedName name="chala" localSheetId="0">#REF!</definedName>
    <definedName name="chala">#REF!</definedName>
    <definedName name="cho" localSheetId="5" hidden="1">{"'Monthly 1997'!$A$3:$S$89"}</definedName>
    <definedName name="cho" localSheetId="0"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lSummYear">OFFSET('[4]расчёт итоги'!$H$17,0,#REF!*12,1,12)</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0">{30,140,350,160,"",""}</definedName>
    <definedName name="cvb">{30,140,350,160,"",""}</definedName>
    <definedName name="cy">2001</definedName>
    <definedName name="d">3</definedName>
    <definedName name="d_">#REF!</definedName>
    <definedName name="dac" localSheetId="5">[0]!_a1Z,[0]!_a2Z</definedName>
    <definedName name="dac" localSheetId="3">[2]!_a1Z,[2]!_a2Z</definedName>
    <definedName name="dac" localSheetId="0">[0]!_a1Z,[0]!_a2Z</definedName>
    <definedName name="dac">[0]!_a1Z,[0]!_a2Z</definedName>
    <definedName name="DAF" localSheetId="0">#REF!</definedName>
    <definedName name="DAF">#REF!</definedName>
    <definedName name="dasd" localSheetId="0">#REF!</definedName>
    <definedName name="dasd">#REF!</definedName>
    <definedName name="data" localSheetId="0">#REF!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0">TRUNC(([0]!oy-1)/3+1)</definedName>
    <definedName name="dddddd">TRUNC((oy-1)/3+1)</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0">{30,140,350,160,"",""}</definedName>
    <definedName name="df">{30,140,350,160,"",""}</definedName>
    <definedName name="dfasd">#REF!</definedName>
    <definedName name="DFDSF">#REF!</definedName>
    <definedName name="dfg">#REF!</definedName>
    <definedName name="DFT" localSheetId="0">#REF!,#REF!,#REF!,#REF!,#REF!,#REF!,#REF!</definedName>
    <definedName name="DFT">#REF!,#REF!,#REF!,#REF!,#REF!,#REF!,#REF!</definedName>
    <definedName name="dg" localSheetId="0">#REF!</definedName>
    <definedName name="dg">#REF!</definedName>
    <definedName name="Dialog1_Button2_Click">#N/A</definedName>
    <definedName name="dindex">[4]начало!$E$46</definedName>
    <definedName name="divSummYear">OFFSET('[4]прибыли и убытки'!$H$34,0,#REF!*12,1,12)</definedName>
    <definedName name="DOCUNO">#N/A</definedName>
    <definedName name="Dollar" localSheetId="0">#REF!</definedName>
    <definedName name="Dollar">#REF!</definedName>
    <definedName name="dse" localSheetId="0">{30,140,350,160,"",""}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0">{30,140,350,160,"",""}</definedName>
    <definedName name="e">{30,140,350,160,"",""}</definedName>
    <definedName name="eee">#REF!</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ndYear">[4]начало!$I$9</definedName>
    <definedName name="er">#REF!</definedName>
    <definedName name="EURO97">#REF!</definedName>
    <definedName name="EURO98">#REF!</definedName>
    <definedName name="ew" localSheetId="0">{30,140,350,160,"",""}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0">{30,140,350,160,"",""}</definedName>
    <definedName name="ey">{30,140,350,160,"",""}</definedName>
    <definedName name="F">#REF!</definedName>
    <definedName name="FaktBox">#REF!</definedName>
    <definedName name="fcdf">#REF!</definedName>
    <definedName name="fd">#REF!</definedName>
    <definedName name="fdghsssssrdy"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5" hidden="1">{#N/A,#N/A,FALSE,"BODY"}</definedName>
    <definedName name="fdsdfsfdsfdsfds" localSheetId="0" hidden="1">{#N/A,#N/A,FALSE,"BODY"}</definedName>
    <definedName name="fdsdfsfdsfdsfds" hidden="1">{#N/A,#N/A,FALSE,"BODY"}</definedName>
    <definedName name="fff">#REF!</definedName>
    <definedName name="ffff">#REF!</definedName>
    <definedName name="ffx" localSheetId="5" hidden="1">{#N/A,#N/A,FALSE,"BODY"}</definedName>
    <definedName name="ffx" localSheetId="0" hidden="1">{#N/A,#N/A,FALSE,"BODY"}</definedName>
    <definedName name="ffx" hidden="1">{#N/A,#N/A,FALSE,"BODY"}</definedName>
    <definedName name="fg">#REF!</definedName>
    <definedName name="fgfh">#REF!</definedName>
    <definedName name="FINDATE">#REF!</definedName>
    <definedName name="First_Year">#REF!</definedName>
    <definedName name="fixSummYear">OFFSET([4]ДДС!$H$20,0,#REF!*12,1,12)</definedName>
    <definedName name="flk">#REF!</definedName>
    <definedName name="FOTSummYear">OFFSET([4]ДДС!$H$21,0,#REF!*12,1,12)</definedName>
    <definedName name="fr">#REF!</definedName>
    <definedName name="front_2" localSheetId="5" hidden="1">{#N/A,#N/A,FALSE,"BODY"}</definedName>
    <definedName name="front_2" localSheetId="0" hidden="1">{#N/A,#N/A,FALSE,"BODY"}</definedName>
    <definedName name="front_2" hidden="1">{#N/A,#N/A,FALSE,"BODY"}</definedName>
    <definedName name="FullDate">#N/A</definedName>
    <definedName name="G">#REF!</definedName>
    <definedName name="gf" localSheetId="0">{30,140,350,160,"",""}</definedName>
    <definedName name="gf">{30,140,350,160,"",""}</definedName>
    <definedName name="GFAS">#N/A</definedName>
    <definedName name="gfgfgg" localSheetId="5">[0]!дел/1000</definedName>
    <definedName name="gfgfgg" localSheetId="3">[2]!дел/1000</definedName>
    <definedName name="gfgfgg" localSheetId="0">[0]!дел/1000</definedName>
    <definedName name="gfgfgg">[0]!дел/1000</definedName>
    <definedName name="gg" localSheetId="0">#REF!</definedName>
    <definedName name="gg">#REF!</definedName>
    <definedName name="gg\" localSheetId="0">#REF!</definedName>
    <definedName name="gg\">#REF!</definedName>
    <definedName name="ggg" localSheetId="0">#REF!</definedName>
    <definedName name="ggg">#REF!</definedName>
    <definedName name="gh">#N/A</definedName>
    <definedName name="ghghgh">#REF!</definedName>
    <definedName name="ghj">#REF!</definedName>
    <definedName name="ghjhb" localSheetId="5">[0]!дел/1000</definedName>
    <definedName name="ghjhb" localSheetId="3">[2]!дел/1000</definedName>
    <definedName name="ghjhb" localSheetId="0">[0]!дел/1000</definedName>
    <definedName name="ghjhb">[0]!дел/1000</definedName>
    <definedName name="GipoxloritBox" localSheetId="0">#REF!</definedName>
    <definedName name="GipoxloritBox">#REF!</definedName>
    <definedName name="GOVBox" localSheetId="0">#REF!</definedName>
    <definedName name="GOVBox">#REF!</definedName>
    <definedName name="h" localSheetId="0">{30,140,350,160,"",""}</definedName>
    <definedName name="h">{30,140,350,160,"",""}</definedName>
    <definedName name="HEAT">#REF!</definedName>
    <definedName name="hf" localSheetId="0">{30,140,350,160,"",""}</definedName>
    <definedName name="hf">{30,140,350,160,"",""}</definedName>
    <definedName name="hgh" localSheetId="0">{30,140,350,160,"",""}</definedName>
    <definedName name="hgh">{30,140,350,160,"",""}</definedName>
    <definedName name="hghghghghghgh">#REF!</definedName>
    <definedName name="hhh">#REF!</definedName>
    <definedName name="hhj">#REF!</definedName>
    <definedName name="hj">#REF!</definedName>
    <definedName name="hjilll" localSheetId="0">TRUNC(([0]!oy-1)/3+1)</definedName>
    <definedName name="hjilll">TRUNC(([0]!oy-1)/3+1)</definedName>
    <definedName name="hkj" localSheetId="0">#REF!</definedName>
    <definedName name="hkj">#REF!</definedName>
    <definedName name="HTML_CodePage" hidden="1">874</definedName>
    <definedName name="HTML_Control" localSheetId="5" hidden="1">{"'Monthly 1997'!$A$3:$S$89"}</definedName>
    <definedName name="HTML_Control" localSheetId="0" hidden="1">{"'Monthly 1997'!$A$3:$S$89"}</definedName>
    <definedName name="HTML_Control" hidden="1">{"'Monthly 1997'!$A$3:$S$89"}</definedName>
    <definedName name="HTML_Control1" localSheetId="5" hidden="1">{"'Monthly 1997'!$A$3:$S$89"}</definedName>
    <definedName name="HTML_Control1" localSheetId="0"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0">{30,140,350,160,"",""}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5">[0]!_a1Z,[0]!_a2Z</definedName>
    <definedName name="INVESTMENT" localSheetId="3">[2]!_a1Z,[2]!_a2Z</definedName>
    <definedName name="INVESTMENT" localSheetId="0">[0]!_a1Z,[0]!_a2Z</definedName>
    <definedName name="INVESTMENT">[0]!_a1Z,[0]!_a2Z</definedName>
    <definedName name="io" localSheetId="0">{30,140,350,160,"",""}</definedName>
    <definedName name="io">{30,140,350,160,"",""}</definedName>
    <definedName name="iu" localSheetId="0">{30,140,350,160,"",""}</definedName>
    <definedName name="iu">{30,140,350,160,"",""}</definedName>
    <definedName name="IU_2">'[8]табли 4 местний совет'!#REF!</definedName>
    <definedName name="iuy" localSheetId="0">{30,140,350,160,"",""}</definedName>
    <definedName name="iuy">{30,140,350,160,"",""}</definedName>
    <definedName name="j" localSheetId="0">{30,140,350,160,"",""}</definedName>
    <definedName name="j">{30,140,350,160,"",""}</definedName>
    <definedName name="jhjkfhkj">#REF!</definedName>
    <definedName name="jjkjkjkjkj">#REF!</definedName>
    <definedName name="jkkn" localSheetId="0">{30,140,350,160,"",""}</definedName>
    <definedName name="jkkn">{30,140,350,160,"",""}</definedName>
    <definedName name="jlk">#REF!</definedName>
    <definedName name="JOB">#REF!</definedName>
    <definedName name="K">#REF!</definedName>
    <definedName name="K4Box">#REF!</definedName>
    <definedName name="K9Box">#REF!</definedName>
    <definedName name="ka" localSheetId="0">TRUNC(([0]!oy-1)/3+1)</definedName>
    <definedName name="ka">TRUNC(([0]!oy-1)/3+1)</definedName>
    <definedName name="KalkulyatsiyaBox" localSheetId="0">#REF!</definedName>
    <definedName name="KalkulyatsiyaBox">#REF!</definedName>
    <definedName name="kash" localSheetId="0">{30,140,350,160,"",""}</definedName>
    <definedName name="kash">{30,140,350,160,"",""}</definedName>
    <definedName name="KaustikaBox">#REF!</definedName>
    <definedName name="Kbcn" localSheetId="0">{30,140,350,160,"",""}</definedName>
    <definedName name="Kbcn">{30,140,350,160,"",""}</definedName>
    <definedName name="kbcnjr" localSheetId="0" hidden="1">#REF!</definedName>
    <definedName name="kbcnjr" hidden="1">#REF!</definedName>
    <definedName name="KislAzot_SSBox" localSheetId="0">#REF!</definedName>
    <definedName name="KislAzot_SSBox">#REF!</definedName>
    <definedName name="KislAzot3Box" localSheetId="0">#REF!</definedName>
    <definedName name="KislAzot3Box">#REF!</definedName>
    <definedName name="KislAzotBox">#REF!</definedName>
    <definedName name="KislIng450Box">#REF!</definedName>
    <definedName name="kj">#REF!</definedName>
    <definedName name="kjl" localSheetId="0">#REF!,#REF!,#REF!</definedName>
    <definedName name="kjl">#REF!,#REF!,#REF!</definedName>
    <definedName name="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5" hidden="1">{#N/A,#N/A,FALSE,"BODY"}</definedName>
    <definedName name="KLJLK" localSheetId="0"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0">#REF!,#REF!</definedName>
    <definedName name="LGL">#REF!,#REF!</definedName>
    <definedName name="LGR" localSheetId="0">#REF!,#REF!</definedName>
    <definedName name="LGR">#REF!,#REF!</definedName>
    <definedName name="LIM">#REF!</definedName>
    <definedName name="ListToShow">#REF!</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5" hidden="1">{#N/A,#N/A,FALSE,"인원";#N/A,#N/A,FALSE,"비용2";#N/A,#N/A,FALSE,"비용1";#N/A,#N/A,FALSE,"비용";#N/A,#N/A,FALSE,"보증2";#N/A,#N/A,FALSE,"보증1";#N/A,#N/A,FALSE,"보증";#N/A,#N/A,FALSE,"손익1";#N/A,#N/A,FALSE,"손익";#N/A,#N/A,FALSE,"부서별매출";#N/A,#N/A,FALSE,"매출"}</definedName>
    <definedName name="local" localSheetId="0"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0">TRUNC(([0]!oy-1)/3+1)</definedName>
    <definedName name="lora">TRUNC((oy-1)/3+1)</definedName>
    <definedName name="lot" localSheetId="0">#REF!</definedName>
    <definedName name="lot">#REF!</definedName>
    <definedName name="LOTNO">#N/A</definedName>
    <definedName name="M" localSheetId="0">#REF!</definedName>
    <definedName name="M">#REF!</definedName>
    <definedName name="m_AA" localSheetId="0">#REF!</definedName>
    <definedName name="m_AA">#REF!</definedName>
    <definedName name="MABox" localSheetId="0">#REF!</definedName>
    <definedName name="MABox">#REF!</definedName>
    <definedName name="MANSUROV"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'[9]Зан-ть(р-ны)'!$5:$5</definedName>
    <definedName name="Metanol_RekBox" localSheetId="0">#REF!</definedName>
    <definedName name="Metanol_RekBox">#REF!</definedName>
    <definedName name="Metanol_SBox" localSheetId="0">#REF!</definedName>
    <definedName name="Metanol_SBox">#REF!</definedName>
    <definedName name="MFT" localSheetId="0">#REF!,#REF!,#REF!,#REF!</definedName>
    <definedName name="MFT">#REF!,#REF!,#REF!,#REF!</definedName>
    <definedName name="MFTU" localSheetId="0">#REF!,#REF!,#REF!,#REF!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5" hidden="1">{"'Monthly 1997'!$A$3:$S$89"}</definedName>
    <definedName name="monthl" localSheetId="0" hidden="1">{"'Monthly 1997'!$A$3:$S$89"}</definedName>
    <definedName name="monthl" hidden="1">{"'Monthly 1997'!$A$3:$S$89"}</definedName>
    <definedName name="Monthly" localSheetId="5" hidden="1">{"'Monthly 1997'!$A$3:$S$89"}</definedName>
    <definedName name="Monthly" localSheetId="0" hidden="1">{"'Monthly 1997'!$A$3:$S$89"}</definedName>
    <definedName name="Monthly" hidden="1">{"'Monthly 1997'!$A$3:$S$89"}</definedName>
    <definedName name="MSIX">#REF!</definedName>
    <definedName name="mtg">#REF!</definedName>
    <definedName name="MTHREE">#REF!</definedName>
    <definedName name="n" localSheetId="0">{30,140,350,160,"",""}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0">{30,140,350,160,"",""}</definedName>
    <definedName name="nb">{30,140,350,160,"",""}</definedName>
    <definedName name="nbv" localSheetId="0">{30,140,350,160,"",""}</definedName>
    <definedName name="nbv">{30,140,350,160,"",""}</definedName>
    <definedName name="NDEDUINDC">#N/A</definedName>
    <definedName name="NetProfitSummYear1">OFFSET('[4]прибыли и убытки'!$H$35,0,#REF!*12,1,12)</definedName>
    <definedName name="NFT" localSheetId="0">#REF!,#REF!,#REF!,#REF!</definedName>
    <definedName name="NFT">#REF!,#REF!,#REF!,#REF!</definedName>
    <definedName name="nhg" localSheetId="0">{30,140,350,160,"",""}</definedName>
    <definedName name="nhg">{30,140,350,160,"",""}</definedName>
    <definedName name="NitronBox">#REF!</definedName>
    <definedName name="nj">#REF!</definedName>
    <definedName name="nn">#REF!</definedName>
    <definedName name="NNN">#REF!</definedName>
    <definedName name="nonbaht">#REF!</definedName>
    <definedName name="novtab">'[9]Зан-ть(р-ны)'!$5:$5</definedName>
    <definedName name="№1" localSheetId="0">#REF!</definedName>
    <definedName name="№1">#REF!</definedName>
    <definedName name="o" localSheetId="0">{30,140,350,160,"",""}</definedName>
    <definedName name="o">{30,140,350,160,"",""}</definedName>
    <definedName name="OborBox">#REF!</definedName>
    <definedName name="obshiyT">#REF!</definedName>
    <definedName name="obsN">#REF!</definedName>
    <definedName name="OFF_ROAD" localSheetId="0">#REF!,#REF!,#REF!,#REF!,#REF!,#REF!,#REF!,#REF!,#REF!,#REF!,#REF!,#REF!</definedName>
    <definedName name="OFF_ROAD">#REF!,#REF!,#REF!,#REF!,#REF!,#REF!,#REF!,#REF!,#REF!,#REF!,#REF!,#REF!</definedName>
    <definedName name="oiu" localSheetId="0">{30,140,350,160,"",""}</definedName>
    <definedName name="oiu">{30,140,350,160,"",""}</definedName>
    <definedName name="OLE_LINK1">#REF!</definedName>
    <definedName name="OLE_LINK3">#REF!</definedName>
    <definedName name="OLE_LINK6">#REF!</definedName>
    <definedName name="OO"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0">{30,140,350,160,"",""}</definedName>
    <definedName name="p">{30,140,350,160,"",""}</definedName>
    <definedName name="PACK" localSheetId="5" hidden="1">{#N/A,#N/A,FALSE,"BODY"}</definedName>
    <definedName name="PACK" localSheetId="0" hidden="1">{#N/A,#N/A,FALSE,"BODY"}</definedName>
    <definedName name="PACK" hidden="1">{#N/A,#N/A,FALSE,"BODY"}</definedName>
    <definedName name="PACKING" localSheetId="5" hidden="1">{#N/A,#N/A,FALSE,"BODY"}</definedName>
    <definedName name="PACKING" localSheetId="0" hidden="1">{#N/A,#N/A,FALSE,"BODY"}</definedName>
    <definedName name="PACKING" hidden="1">{#N/A,#N/A,FALSE,"BODY"}</definedName>
    <definedName name="PACKINGLIST" localSheetId="5" hidden="1">{#N/A,#N/A,FALSE,"BODY"}</definedName>
    <definedName name="PACKINGLIST" localSheetId="0"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5" hidden="1">{#N/A,#N/A,FALSE,"BODY"}</definedName>
    <definedName name="PL" localSheetId="0"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0">{30,140,350,160,"",""}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0">#REF!,#REF!,#REF!</definedName>
    <definedName name="Print_3_pages">#REF!,#REF!,#REF!</definedName>
    <definedName name="Print_Area_MI" localSheetId="0">#REF!</definedName>
    <definedName name="Print_Area_MI">#REF!</definedName>
    <definedName name="Print_Titles_MI" localSheetId="0">#REF!</definedName>
    <definedName name="Print_Titles_MI">#REF!</definedName>
    <definedName name="print3pages" localSheetId="0">#REF!,#REF!,#REF!</definedName>
    <definedName name="print3pages">#REF!,#REF!,#REF!</definedName>
    <definedName name="PRINT객ITLES" localSheetId="0">#REF!</definedName>
    <definedName name="PRINT객ITLES">#REF!</definedName>
    <definedName name="PRINT객ITLES강I" localSheetId="0">#REF!</definedName>
    <definedName name="PRINT객ITLES강I">#REF!</definedName>
    <definedName name="PRINTㅣREA" localSheetId="0">#REF!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[10]Store!$B$128</definedName>
    <definedName name="procDiv">[4]начало!$E$61</definedName>
    <definedName name="ProcentSummYear">OFFSET([4]ДДС!$H$22,0,#REF!*12,1,12)</definedName>
    <definedName name="ProchieBox" localSheetId="0">#REF!</definedName>
    <definedName name="ProchieBox">#REF!</definedName>
    <definedName name="PROJNO">#N/A</definedName>
    <definedName name="pub">OFFSET('[4]прибыли и убытки'!$H$18,0,#REF!*12,1,12)</definedName>
    <definedName name="puc">OFFSET('[4]прибыли и убытки'!$H$21,0,#REF!*12,1,12)</definedName>
    <definedName name="PYear2">#N/A</definedName>
    <definedName name="q" localSheetId="0">{30,140,350,160,"",""}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0">{30,140,350,160,"",""}</definedName>
    <definedName name="qw">{30,140,350,160,"",""}</definedName>
    <definedName name="qwe" localSheetId="0">{30,140,350,160,"",""}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0">{30,140,350,160,"",""}</definedName>
    <definedName name="re">{30,140,350,160,"",""}</definedName>
    <definedName name="REFNO">#REF!</definedName>
    <definedName name="REMARK">#N/A</definedName>
    <definedName name="resp" localSheetId="0">DATE([0]!yil,[0]!oy,1)</definedName>
    <definedName name="resp">DATE([0]!yil,[0]!oy,1)</definedName>
    <definedName name="respub" localSheetId="0">#REF!</definedName>
    <definedName name="respub">#REF!</definedName>
    <definedName name="Results" localSheetId="0">[11]Results!#REF!</definedName>
    <definedName name="Results">[11]Results!#REF!</definedName>
    <definedName name="revenueYearsNew">OFFSET([4]ДДС!$H$14,0,#REF!*12,1,12)</definedName>
    <definedName name="rew" localSheetId="0">{30,140,350,160,"",""}</definedName>
    <definedName name="rew">{30,140,350,160,"",""}</definedName>
    <definedName name="rexfn">#REF!</definedName>
    <definedName name="RezultatBox">#REF!</definedName>
    <definedName name="rfkmr"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0">{30,140,350,160,"",""}</definedName>
    <definedName name="rtew">{30,140,350,160,"",""}</definedName>
    <definedName name="Rw">#REF!</definedName>
    <definedName name="RY">#REF!</definedName>
    <definedName name="RZVD">#N/A</definedName>
    <definedName name="S">#REF!</definedName>
    <definedName name="sa" localSheetId="0">{30,140,350,160,"",""}</definedName>
    <definedName name="sa">{30,140,350,160,"",""}</definedName>
    <definedName name="samarqa">#REF!</definedName>
    <definedName name="sana" localSheetId="0">DATE([0]!yil,[0]!oy,1)</definedName>
    <definedName name="sana">DATE(yil,oy,1)</definedName>
    <definedName name="sd" localSheetId="0">{30,140,350,160,"",""}</definedName>
    <definedName name="sd">{30,140,350,160,"",""}</definedName>
    <definedName name="sdfg">#REF!</definedName>
    <definedName name="sdfsdfsd" localSheetId="0">TRUNC(([0]!oy-1)/3+1)</definedName>
    <definedName name="sdfsdfsd">TRUNC((oy-1)/3+1)</definedName>
    <definedName name="sdfsfdf" localSheetId="0">#REF!</definedName>
    <definedName name="sdfsfdf">#REF!</definedName>
    <definedName name="se" localSheetId="0">{30,140,350,160,"",""}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0">{30,140,350,160,"",""}</definedName>
    <definedName name="sf">{30,140,350,160,"",""}</definedName>
    <definedName name="shsssreywwet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ver_opt" localSheetId="4" hidden="1">CashFlow!$C$24</definedName>
    <definedName name="SolyankaBox">#REF!</definedName>
    <definedName name="SolyankaKatBox">#REF!</definedName>
    <definedName name="sr">#REF!</definedName>
    <definedName name="SravnenieBox">#REF!</definedName>
    <definedName name="SravnitelnayaBox">#REF!</definedName>
    <definedName name="ss" localSheetId="0">{30,140,350,160,"",""}</definedName>
    <definedName name="ss">{30,140,350,160,"",""}</definedName>
    <definedName name="SSS"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artYear">[4]начало!$E$9</definedName>
    <definedName name="STDATE">#REF!</definedName>
    <definedName name="SulfatBox">#REF!</definedName>
    <definedName name="SUMMARY">#REF!</definedName>
    <definedName name="SummBackCredit">OFFSET('[4]расчёт итоги'!$H$73,0,#REF!*12,2,12)</definedName>
    <definedName name="SummCreditFinYear">OFFSET('[4]расчёт итоги'!$H$70,0,#REF!*12,1,12)</definedName>
    <definedName name="summNalogYear">OFFSET('[4]расчёт итоги'!$H$83,0,#REF!*12,1,12)</definedName>
    <definedName name="sung" localSheetId="5" hidden="1">{"'Monthly 1997'!$A$3:$S$89"}</definedName>
    <definedName name="sung" localSheetId="0" hidden="1">{"'Monthly 1997'!$A$3:$S$89"}</definedName>
    <definedName name="sung" hidden="1">{"'Monthly 1997'!$A$3:$S$89"}</definedName>
    <definedName name="sung2" localSheetId="5" hidden="1">{"'Monthly 1997'!$A$3:$S$89"}</definedName>
    <definedName name="sung2" localSheetId="0" hidden="1">{"'Monthly 1997'!$A$3:$S$89"}</definedName>
    <definedName name="sung2" hidden="1">{"'Monthly 1997'!$A$3:$S$89"}</definedName>
    <definedName name="SVOD">#N/A</definedName>
    <definedName name="SxemBox">#REF!</definedName>
    <definedName name="SxemNitronBox">#REF!</definedName>
    <definedName name="t" localSheetId="0">{30,140,350,160,"",""}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ax_profit">'[4]налоги справочник'!$E$48</definedName>
    <definedName name="TEMPQTY">#N/A</definedName>
    <definedName name="TEST">#REF!</definedName>
    <definedName name="test1">#REF!</definedName>
    <definedName name="test2">#REF!</definedName>
    <definedName name="TFT" localSheetId="0">#REF!,#REF!,#REF!,#REF!</definedName>
    <definedName name="TFT">#REF!,#REF!,#REF!,#REF!</definedName>
    <definedName name="th" localSheetId="0">#REF!</definedName>
    <definedName name="th">#REF!</definedName>
    <definedName name="TiomochBox" localSheetId="0">#REF!</definedName>
    <definedName name="TiomochBox">#REF!</definedName>
    <definedName name="tlfAprt" localSheetId="0">#REF!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5">[0]!дел/1000</definedName>
    <definedName name="total" localSheetId="3">[2]!дел/1000</definedName>
    <definedName name="total" localSheetId="0">[0]!дел/1000</definedName>
    <definedName name="total">[0]!дел/1000</definedName>
    <definedName name="tr" localSheetId="0">{30,140,350,160,"",""}</definedName>
    <definedName name="tr">{30,140,350,160,"",""}</definedName>
    <definedName name="tre" localSheetId="0">{30,140,350,160,"",""}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5" hidden="1">{#N/A,#N/A,TRUE,"일정"}</definedName>
    <definedName name="tt" localSheetId="0" hidden="1">{#N/A,#N/A,TRUE,"일정"}</definedName>
    <definedName name="tt" hidden="1">{#N/A,#N/A,TRUE,"일정"}</definedName>
    <definedName name="TTT">#REF!</definedName>
    <definedName name="ty" localSheetId="0">{30,140,350,160,"",""}</definedName>
    <definedName name="ty">{30,140,350,160,"",""}</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0">{30,140,350,160,"",""}</definedName>
    <definedName name="tyu">{30,140,350,160,"",""}</definedName>
    <definedName name="u" localSheetId="0">{30,140,350,160,"",""}</definedName>
    <definedName name="u">{30,140,350,160,"",""}</definedName>
    <definedName name="UglekisBox">#REF!</definedName>
    <definedName name="uiy" localSheetId="0">{30,140,350,160,"",""}</definedName>
    <definedName name="uiy">{30,140,350,160,"",""}</definedName>
    <definedName name="Uksus70Box">#REF!</definedName>
    <definedName name="Uksus99Box">#REF!</definedName>
    <definedName name="UNIT">#N/A</definedName>
    <definedName name="UOM">#N/A</definedName>
    <definedName name="ure">#N/A</definedName>
    <definedName name="uy" localSheetId="0">{30,140,350,160,"",""}</definedName>
    <definedName name="uy">{30,140,350,160,"",""}</definedName>
    <definedName name="uyjh" localSheetId="0">{30,140,350,160,"",""}</definedName>
    <definedName name="uyjh">{30,140,350,160,"",""}</definedName>
    <definedName name="uyt" localSheetId="0">{30,140,350,160,"",""}</definedName>
    <definedName name="uyt">{30,140,350,160,"",""}</definedName>
    <definedName name="v" localSheetId="0">{30,140,350,160,"",""}</definedName>
    <definedName name="v">{30,140,350,160,"",""}</definedName>
    <definedName name="VarABox">#REF!</definedName>
    <definedName name="VarBBox">#REF!</definedName>
    <definedName name="VariableSummYears">OFFSET([4]ДДС!$H$19,0,#REF!*12,1,12)</definedName>
    <definedName name="vb">#REF!</definedName>
    <definedName name="vbc">#REF!</definedName>
    <definedName name="vbghh">#REF!</definedName>
    <definedName name="vcx" localSheetId="0">{30,140,350,160,"",""}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0">{30,140,350,160,"",""}</definedName>
    <definedName name="w">{30,140,350,160,"",""}</definedName>
    <definedName name="W.SHOP">#N/A</definedName>
    <definedName name="wa">#REF!</definedName>
    <definedName name="we" localSheetId="0">{30,140,350,160,"",""}</definedName>
    <definedName name="we">{30,140,350,160,"",""}</definedName>
    <definedName name="weeee" localSheetId="5" hidden="1">{#N/A,#N/A,FALSE,"인원";#N/A,#N/A,FALSE,"비용2";#N/A,#N/A,FALSE,"비용1";#N/A,#N/A,FALSE,"비용";#N/A,#N/A,FALSE,"보증2";#N/A,#N/A,FALSE,"보증1";#N/A,#N/A,FALSE,"보증";#N/A,#N/A,FALSE,"손익1";#N/A,#N/A,FALSE,"손익";#N/A,#N/A,FALSE,"부서별매출";#N/A,#N/A,FALSE,"매출"}</definedName>
    <definedName name="weeee" localSheetId="0"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0">{30,140,350,160,"",""}</definedName>
    <definedName name="wer">{30,140,350,160,"",""}</definedName>
    <definedName name="wf" localSheetId="0">{30,140,350,160,"",""}</definedName>
    <definedName name="wf">{30,140,350,160,"",""}</definedName>
    <definedName name="WFL" localSheetId="0">#REF!,#REF!</definedName>
    <definedName name="WFL">#REF!,#REF!</definedName>
    <definedName name="wgeaw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0">#REF!,#REF!</definedName>
    <definedName name="WIL">#REF!,#REF!</definedName>
    <definedName name="WIR" localSheetId="0">#REF!,#REF!</definedName>
    <definedName name="WIR">#REF!,#REF!</definedName>
    <definedName name="wq">#REF!</definedName>
    <definedName name="wqe" localSheetId="0">{30,140,350,160,"",""}</definedName>
    <definedName name="wqe">{30,140,350,160,"",""}</definedName>
    <definedName name="wr" localSheetId="0" hidden="1">#REF!</definedName>
    <definedName name="wr" hidden="1">#REF!</definedName>
    <definedName name="wrn.ccr." localSheetId="5" hidden="1">{#N/A,#N/A,FALSE,"BODY"}</definedName>
    <definedName name="wrn.ccr." localSheetId="0" hidden="1">{#N/A,#N/A,FALSE,"BODY"}</definedName>
    <definedName name="wrn.ccr." hidden="1">{#N/A,#N/A,FALSE,"BODY"}</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5"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0"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5" hidden="1">{#N/A,#N/A,FALSE,"Input1"}</definedName>
    <definedName name="wrn.list1." localSheetId="0" hidden="1">{#N/A,#N/A,FALSE,"Input1"}</definedName>
    <definedName name="wrn.list1." hidden="1">{#N/A,#N/A,FALSE,"Input1"}</definedName>
    <definedName name="wrn.list2." localSheetId="5" hidden="1">{#N/A,#N/A,FALSE,"Input1"}</definedName>
    <definedName name="wrn.list2." localSheetId="0" hidden="1">{#N/A,#N/A,FALSE,"Input1"}</definedName>
    <definedName name="wrn.list2." hidden="1">{#N/A,#N/A,FALSE,"Input1"}</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5" hidden="1">{#N/A,#N/A,FALSE,"단축1";#N/A,#N/A,FALSE,"단축2";#N/A,#N/A,FALSE,"단축3";#N/A,#N/A,FALSE,"장축";#N/A,#N/A,FALSE,"4WD"}</definedName>
    <definedName name="wrn.전부인쇄." localSheetId="0" hidden="1">{#N/A,#N/A,FALSE,"단축1";#N/A,#N/A,FALSE,"단축2";#N/A,#N/A,FALSE,"단축3";#N/A,#N/A,FALSE,"장축";#N/A,#N/A,FALSE,"4WD"}</definedName>
    <definedName name="wrn.전부인쇄." hidden="1">{#N/A,#N/A,FALSE,"단축1";#N/A,#N/A,FALSE,"단축2";#N/A,#N/A,FALSE,"단축3";#N/A,#N/A,FALSE,"장축";#N/A,#N/A,FALSE,"4WD"}</definedName>
    <definedName name="wrn.주간._.보고." localSheetId="5" hidden="1">{#N/A,#N/A,TRUE,"일정"}</definedName>
    <definedName name="wrn.주간._.보고." localSheetId="0" hidden="1">{#N/A,#N/A,TRUE,"일정"}</definedName>
    <definedName name="wrn.주간._.보고." hidden="1">{#N/A,#N/A,TRUE,"일정"}</definedName>
    <definedName name="ws" localSheetId="0">{30,140,350,160,"",""}</definedName>
    <definedName name="ws">{30,140,350,160,"",""}</definedName>
    <definedName name="wsd">#REF!</definedName>
    <definedName name="wt" localSheetId="0">{30,140,350,160,"",""}</definedName>
    <definedName name="wt">{30,140,350,160,"",""}</definedName>
    <definedName name="wv" localSheetId="0">{30,140,350,160,"",""}</definedName>
    <definedName name="wv">{30,140,350,160,"",""}</definedName>
    <definedName name="www">#REF!</definedName>
    <definedName name="WWWW" localSheetId="5" hidden="1">{#N/A,#N/A,TRUE,"일정"}</definedName>
    <definedName name="WWWW" localSheetId="0" hidden="1">{#N/A,#N/A,TRUE,"일정"}</definedName>
    <definedName name="WWWW" hidden="1">{#N/A,#N/A,TRUE,"일정"}</definedName>
    <definedName name="wx" localSheetId="0">{30,140,350,160,"",""}</definedName>
    <definedName name="wx">{30,140,350,160,"",""}</definedName>
    <definedName name="wy" localSheetId="0">{30,140,350,160,"",""}</definedName>
    <definedName name="wy">{30,140,350,160,"",""}</definedName>
    <definedName name="wz">#REF!</definedName>
    <definedName name="x" localSheetId="0">{30,140,350,160,"",""}</definedName>
    <definedName name="x">{30,140,350,160,"",""}</definedName>
    <definedName name="xcv" localSheetId="0">{30,140,350,160,"",""}</definedName>
    <definedName name="xcv">{30,140,350,160,"",""}</definedName>
    <definedName name="xczx" localSheetId="0">{30,140,350,160,"",""}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0">{30,140,350,160,"",""}</definedName>
    <definedName name="y">{30,140,350,160,"",""}</definedName>
    <definedName name="yil">#N/A</definedName>
    <definedName name="yt" localSheetId="0">{30,140,350,160,"",""}</definedName>
    <definedName name="yt">{30,140,350,160,"",""}</definedName>
    <definedName name="ytr" localSheetId="0">{30,140,350,160,"",""}</definedName>
    <definedName name="ytr">{30,140,350,160,"",""}</definedName>
    <definedName name="ytu" localSheetId="0">{30,140,350,160,"",""}</definedName>
    <definedName name="ytu">{30,140,350,160,"",""}</definedName>
    <definedName name="yy">#N/A</definedName>
    <definedName name="z" localSheetId="0">{30,140,350,160,"",""}</definedName>
    <definedName name="z">{30,140,350,160,"",""}</definedName>
    <definedName name="Z_28E99C00_2E50_4A25_9D21_7801798C21BD_.wvu.PrintArea" localSheetId="0" hidden="1">#REF!</definedName>
    <definedName name="Z_28E99C00_2E50_4A25_9D21_7801798C21BD_.wvu.PrintArea" hidden="1">#REF!</definedName>
    <definedName name="Z_363221E4_558F_4717_B6AD_63B76229A86A_.wvu.PrintArea" localSheetId="0" hidden="1">#REF!</definedName>
    <definedName name="Z_363221E4_558F_4717_B6AD_63B76229A86A_.wvu.PrintArea" hidden="1">#REF!</definedName>
    <definedName name="Z_3A9B8CE0_90FE_45F7_B16A_6C9B6CFEF69B_.wvu.PrintTitles" hidden="1">[12]оборот!$A:$B,[12]оборот!$1:$1</definedName>
    <definedName name="Z_5167EBEB_44EA_47B0_97C1_BDFB74A1E9C1_.wvu.PrintArea" localSheetId="0" hidden="1">#REF!</definedName>
    <definedName name="Z_5167EBEB_44EA_47B0_97C1_BDFB74A1E9C1_.wvu.PrintArea" hidden="1">#REF!</definedName>
    <definedName name="Z_52A70739_45F6_4D94_BB2B_E6CE9DB3F670_.wvu.PrintArea" localSheetId="0" hidden="1">#REF!</definedName>
    <definedName name="Z_52A70739_45F6_4D94_BB2B_E6CE9DB3F670_.wvu.PrintArea" hidden="1">#REF!</definedName>
    <definedName name="Z_7567EFF5_A760_4BD2_9783_0E4DA1CF40E5_.wvu.PrintArea" localSheetId="0" hidden="1">#REF!</definedName>
    <definedName name="Z_7567EFF5_A760_4BD2_9783_0E4DA1CF40E5_.wvu.PrintArea" hidden="1">#REF!</definedName>
    <definedName name="Z_86A21AE1_D222_11D6_8098_444553540000_.wvu.Cols" hidden="1">#N/A</definedName>
    <definedName name="Z_90AC4916_08D5_4B9F_B8B9_D84EFD8CA14D_.wvu.PrintArea" localSheetId="0" hidden="1">#REF!</definedName>
    <definedName name="Z_90AC4916_08D5_4B9F_B8B9_D84EFD8CA14D_.wvu.PrintArea" hidden="1">#REF!</definedName>
    <definedName name="Z_90AC4916_08D5_4B9F_B8B9_D84EFD8CA14D_.wvu.Rows" localSheetId="0" hidden="1">#REF!,#REF!</definedName>
    <definedName name="Z_90AC4916_08D5_4B9F_B8B9_D84EFD8CA14D_.wvu.Rows" hidden="1">#REF!,#REF!</definedName>
    <definedName name="Z_A4A9DF7B_AB71_4A4B_9F81_D0DED06B6979_.wvu.PrintArea" localSheetId="0" hidden="1">#REF!</definedName>
    <definedName name="Z_A4A9DF7B_AB71_4A4B_9F81_D0DED06B6979_.wvu.PrintArea" hidden="1">#REF!</definedName>
    <definedName name="Z_A4A9DF7B_AB71_4A4B_9F81_D0DED06B6979_.wvu.Rows" localSheetId="0" hidden="1">#REF!,#REF!</definedName>
    <definedName name="Z_A4A9DF7B_AB71_4A4B_9F81_D0DED06B6979_.wvu.Rows" hidden="1">#REF!,#REF!</definedName>
    <definedName name="Z_A72D7F17_E843_45F5_A257_DC060914C37A_.wvu.PrintArea" localSheetId="0" hidden="1">#REF!</definedName>
    <definedName name="Z_A72D7F17_E843_45F5_A257_DC060914C37A_.wvu.PrintArea" hidden="1">#REF!</definedName>
    <definedName name="Z_A72D7F17_E843_45F5_A257_DC060914C37A_.wvu.Rows" localSheetId="0" hidden="1">#REF!,#REF!</definedName>
    <definedName name="Z_A72D7F17_E843_45F5_A257_DC060914C37A_.wvu.Rows" hidden="1">#REF!,#REF!</definedName>
    <definedName name="Z_AC797E33_BB07_440F_920C_8A9426261027_.wvu.PrintArea" localSheetId="0" hidden="1">#REF!</definedName>
    <definedName name="Z_AC797E33_BB07_440F_920C_8A9426261027_.wvu.PrintArea" hidden="1">#REF!</definedName>
    <definedName name="Z_B01F82C8_E2BF_11D8_BD33_0000F8781956_.wvu.Cols" localSheetId="0" hidden="1">#REF!,#REF!,#REF!,#REF!,#REF!,#REF!,#REF!,#REF!,#REF!,#REF!,#REF!,#REF!,#REF!,#REF!</definedName>
    <definedName name="Z_B01F82C8_E2BF_11D8_BD33_0000F8781956_.wvu.Cols" hidden="1">#REF!,#REF!,#REF!,#REF!,#REF!,#REF!,#REF!,#REF!,#REF!,#REF!,#REF!,#REF!,#REF!,#REF!</definedName>
    <definedName name="Z_B01F82C8_E2BF_11D8_BD33_0000F8781956_.wvu.PrintTitles" localSheetId="0" hidden="1">#REF!</definedName>
    <definedName name="Z_B01F82C8_E2BF_11D8_BD33_0000F8781956_.wvu.PrintTitles" hidden="1">#REF!</definedName>
    <definedName name="Z_B1C6911B_1389_4D1E_B480_46B2A5907C37_.wvu.FilterData" localSheetId="0" hidden="1">#REF!</definedName>
    <definedName name="Z_B1C6911B_1389_4D1E_B480_46B2A5907C37_.wvu.FilterData" hidden="1">#REF!</definedName>
    <definedName name="Z_B1C6911B_1389_4D1E_B480_46B2A5907C37_.wvu.PrintArea" localSheetId="0" hidden="1">#REF!</definedName>
    <definedName name="Z_B1C6911B_1389_4D1E_B480_46B2A5907C37_.wvu.PrintArea" hidden="1">#REF!</definedName>
    <definedName name="Z_B1C6911B_1389_4D1E_B480_46B2A5907C37_.wvu.Rows" localSheetId="0" hidden="1">#REF!,#REF!</definedName>
    <definedName name="Z_B1C6911B_1389_4D1E_B480_46B2A5907C37_.wvu.Rows" hidden="1">#REF!,#REF!</definedName>
    <definedName name="Z_BD879655_49FA_40EC_B48C_A3116A0C7DFC_.wvu.PrintArea" localSheetId="0" hidden="1">#REF!</definedName>
    <definedName name="Z_BD879655_49FA_40EC_B48C_A3116A0C7DFC_.wvu.PrintArea" hidden="1">#REF!</definedName>
    <definedName name="Z_C06073AE_7EF9_4843_A3E3_AB58B1214D42_.wvu.PrintArea" localSheetId="0" hidden="1">#REF!</definedName>
    <definedName name="Z_C06073AE_7EF9_4843_A3E3_AB58B1214D42_.wvu.PrintArea" hidden="1">#REF!</definedName>
    <definedName name="Z_D205962A_A136_4D1E_8153_3458A266DBC1_.wvu.PrintArea" localSheetId="0" hidden="1">#REF!</definedName>
    <definedName name="Z_D205962A_A136_4D1E_8153_3458A266DBC1_.wvu.PrintArea" hidden="1">#REF!</definedName>
    <definedName name="Z_D4F8E9F6_5FCD_431C_A367_31DAEB399AF5_.wvu.FilterData" hidden="1">#REF!</definedName>
    <definedName name="Z_D851514D_BBEB_4B79_8707_98EE9C125F6D_.wvu.PrintArea" hidden="1">#REF!</definedName>
    <definedName name="Z_E1467D9E_08D8_4B26_A1A2_A7B2112B5B89_.wvu.PrintArea" hidden="1">#REF!</definedName>
    <definedName name="Z_EAC59BBB_1142_473E_AA30_776C99FD5953_.wvu.PrintArea" hidden="1">#REF!</definedName>
    <definedName name="Z_F93FC798_0AC9_4DC8_A37A_5AC4EB838A1D_.wvu.PrintArea" hidden="1">#REF!</definedName>
    <definedName name="za" localSheetId="0">{30,140,350,160,"",""}</definedName>
    <definedName name="za">{30,140,350,160,"",""}</definedName>
    <definedName name="ZaxVodaBox">#REF!</definedName>
    <definedName name="ZRATEINDC">#N/A</definedName>
    <definedName name="zx" localSheetId="0">{30,140,350,160,"",""}</definedName>
    <definedName name="zx">{30,140,350,160,"",""}</definedName>
    <definedName name="zzz">#REF!</definedName>
    <definedName name="а" localSheetId="0">{30,140,350,160,"",""}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hidden="1">#REF!</definedName>
    <definedName name="аа1">'[13]Зан-ть(р-ны)'!$5:$5</definedName>
    <definedName name="ааа">'[14]Фориш 2003'!$O$4</definedName>
    <definedName name="аааа" localSheetId="0">#REF!</definedName>
    <definedName name="аааа">#REF!</definedName>
    <definedName name="ааааа"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0">{30,140,350,160,"",""}</definedName>
    <definedName name="аваав">{30,140,350,160,"",""}</definedName>
    <definedName name="ававпаррпор" localSheetId="0">{30,140,350,160,"",""}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0">{30,140,350,160,"",""}</definedName>
    <definedName name="авьлолалоа">{30,140,350,160,"",""}</definedName>
    <definedName name="Ағапапкуё21ё2312" localSheetId="0" hidden="1">#REF!</definedName>
    <definedName name="Ағапапкуё21ё2312" hidden="1">#REF!</definedName>
    <definedName name="Адил" localSheetId="0">#REF!</definedName>
    <definedName name="Адил">#REF!</definedName>
    <definedName name="адр">"$A$3"</definedName>
    <definedName name="Адреслар">[15]База!$A$2:$A$16</definedName>
    <definedName name="Адхам" localSheetId="0">#REF!</definedName>
    <definedName name="Адхам">#REF!</definedName>
    <definedName name="АЕН" localSheetId="0">#REF!</definedName>
    <definedName name="АЕН">#REF!</definedName>
    <definedName name="аиа">#N/A</definedName>
    <definedName name="аипасп12" localSheetId="0">#REF!</definedName>
    <definedName name="аипасп12">#REF!</definedName>
    <definedName name="аитпир">#N/A</definedName>
    <definedName name="АК" localSheetId="5" hidden="1">{#N/A,#N/A,FALSE,"인원";#N/A,#N/A,FALSE,"비용2";#N/A,#N/A,FALSE,"비용1";#N/A,#N/A,FALSE,"비용";#N/A,#N/A,FALSE,"보증2";#N/A,#N/A,FALSE,"보증1";#N/A,#N/A,FALSE,"보증";#N/A,#N/A,FALSE,"손익1";#N/A,#N/A,FALSE,"손익";#N/A,#N/A,FALSE,"부서별매출";#N/A,#N/A,FALSE,"매출"}</definedName>
    <definedName name="АК" localSheetId="0"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0">DATE([0]!yil,[0]!oy,1)</definedName>
    <definedName name="акмал">DATE([0]!yil,[0]!oy,1)</definedName>
    <definedName name="акциз" localSheetId="0">#REF!</definedName>
    <definedName name="акциз">#REF!</definedName>
    <definedName name="алан" localSheetId="5">прилож3/1000</definedName>
    <definedName name="алан" localSheetId="3">прилож3/1000</definedName>
    <definedName name="алан" localSheetId="0">прилож3/1000</definedName>
    <definedName name="алан">прилож3/1000</definedName>
    <definedName name="Албина" localSheetId="0">#REF!</definedName>
    <definedName name="Албина">#REF!</definedName>
    <definedName name="Албиничка" localSheetId="0">#REF!</definedName>
    <definedName name="Албиничка">#REF!</definedName>
    <definedName name="алтбе" localSheetId="0">#REF!</definedName>
    <definedName name="алтбе">#REF!</definedName>
    <definedName name="Амор">#REF!</definedName>
    <definedName name="Амортизац">#REF!</definedName>
    <definedName name="Амударья">#REF!</definedName>
    <definedName name="ан" localSheetId="0">DATE([0]!yil,[0]!oy,1)</definedName>
    <definedName name="ан">DATE([0]!yil,[0]!oy,1)</definedName>
    <definedName name="анвар" localSheetId="0">#REF!</definedName>
    <definedName name="анвар">#REF!</definedName>
    <definedName name="Анд" localSheetId="0">TRUNC(([0]!oy-1)/3+1)</definedName>
    <definedName name="Анд">TRUNC((oy-1)/3+1)</definedName>
    <definedName name="Анди" localSheetId="0">TRUNC(([0]!oy-1)/3+1)</definedName>
    <definedName name="Анди">TRUNC((oy-1)/3+1)</definedName>
    <definedName name="Андижон" localSheetId="0">#REF!</definedName>
    <definedName name="Андижон">#REF!</definedName>
    <definedName name="аолпровор">#N/A</definedName>
    <definedName name="аолрб">#N/A</definedName>
    <definedName name="аопрот">#N/A</definedName>
    <definedName name="аос" localSheetId="0">#REF!</definedName>
    <definedName name="аос">#REF!</definedName>
    <definedName name="АП" localSheetId="0">#REF!</definedName>
    <definedName name="АП">#REF!</definedName>
    <definedName name="апа" localSheetId="0">#REF!</definedName>
    <definedName name="апа">#REF!</definedName>
    <definedName name="апавлпо" localSheetId="0">{30,140,350,160,"",""}</definedName>
    <definedName name="апавлпо">{30,140,350,160,"",""}</definedName>
    <definedName name="апаопм">#REF!</definedName>
    <definedName name="апаппв" localSheetId="0">{30,140,350,160,"",""}</definedName>
    <definedName name="апаппв">{30,140,350,160,"",""}</definedName>
    <definedName name="апв">#N/A</definedName>
    <definedName name="апеоапраоне">#N/A</definedName>
    <definedName name="апорпол">#N/A</definedName>
    <definedName name="апп" localSheetId="0">{30,140,350,160,"",""}</definedName>
    <definedName name="апп">{30,140,350,160,"",""}</definedName>
    <definedName name="апр" localSheetId="0">{30,140,350,160,"",""}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0">{30,140,350,160,"",""}</definedName>
    <definedName name="асчапр">{30,140,350,160,"",""}</definedName>
    <definedName name="атранши">#REF!</definedName>
    <definedName name="АТЦ">#REF!</definedName>
    <definedName name="ахд">#REF!</definedName>
    <definedName name="Ахмад" localSheetId="0">{30,140,350,160,"",""}</definedName>
    <definedName name="Ахмад">{30,140,350,160,"",""}</definedName>
    <definedName name="Аҳрор" localSheetId="0" hidden="1">#REF!</definedName>
    <definedName name="Аҳрор" hidden="1">#REF!</definedName>
    <definedName name="аывап" localSheetId="0">{30,140,350,160,"",""}</definedName>
    <definedName name="аывап">{30,140,350,160,"",""}</definedName>
    <definedName name="аэксп">#REF!</definedName>
    <definedName name="б" localSheetId="0">{30,140,350,160,"",""}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0">{30,140,350,160,"",""}</definedName>
    <definedName name="бахром">{30,140,350,160,"",""}</definedName>
    <definedName name="ббб">#REF!</definedName>
    <definedName name="бббб">#REF!</definedName>
    <definedName name="ббк">#REF!</definedName>
    <definedName name="беенок" localSheetId="0">{30,140,350,160,"",""}</definedName>
    <definedName name="беенок">{30,140,350,160,"",""}</definedName>
    <definedName name="безгпбезпдз">#N/A</definedName>
    <definedName name="Беруний">#REF!</definedName>
    <definedName name="бир">'[16]Ер Ресурс'!#REF!</definedName>
    <definedName name="БОГОТТУМАН" localSheetId="0">#REF!</definedName>
    <definedName name="БОГОТТУМАН">#REF!</definedName>
    <definedName name="Бустонлик_договор" localSheetId="0">#REF!</definedName>
    <definedName name="Бустонлик_договор">#REF!</definedName>
    <definedName name="Бустонлик_семена" localSheetId="0">#REF!</definedName>
    <definedName name="Бустонлик_семена">#REF!</definedName>
    <definedName name="Бух" localSheetId="0">TRUNC(([0]!oy-1)/3+1)</definedName>
    <definedName name="Бух">TRUNC((oy-1)/3+1)</definedName>
    <definedName name="Бухоро" localSheetId="0">#REF!</definedName>
    <definedName name="Бухоро">#REF!</definedName>
    <definedName name="бь" localSheetId="0">{30,140,350,160,"",""}</definedName>
    <definedName name="бь">{30,140,350,160,"",""}</definedName>
    <definedName name="бю" localSheetId="0">{30,140,350,160,"",""}</definedName>
    <definedName name="бю">{30,140,350,160,"",""}</definedName>
    <definedName name="бюджет">#REF!</definedName>
    <definedName name="в" localSheetId="0">{30,140,350,160,"",""}</definedName>
    <definedName name="в">{30,140,350,160,"",""}</definedName>
    <definedName name="В5">#REF!</definedName>
    <definedName name="ва">#REF!</definedName>
    <definedName name="вава" localSheetId="0" hidden="1">#REF!</definedName>
    <definedName name="вава" hidden="1">#REF!</definedName>
    <definedName name="вавав" localSheetId="0">{30,140,350,160,"",""}</definedName>
    <definedName name="вавав">{30,140,350,160,"",""}</definedName>
    <definedName name="вававав">#REF!</definedName>
    <definedName name="вавававвав" localSheetId="5">[0]!дел/1000</definedName>
    <definedName name="вавававвав" localSheetId="3">[2]!дел/1000</definedName>
    <definedName name="вавававвав" localSheetId="0">[0]!дел/1000</definedName>
    <definedName name="вавававвав">[0]!дел/1000</definedName>
    <definedName name="ваватири">#N/A</definedName>
    <definedName name="ваиттиваир">#N/A</definedName>
    <definedName name="валовая" localSheetId="0">#REF!</definedName>
    <definedName name="валовая">#REF!</definedName>
    <definedName name="вап" localSheetId="0">#REF!</definedName>
    <definedName name="вап">#REF!</definedName>
    <definedName name="вапвапвапв" localSheetId="0">#REF!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0">{30,140,350,160,"",""}</definedName>
    <definedName name="вва">{30,140,350,160,"",""}</definedName>
    <definedName name="ввв" localSheetId="0">{30,140,350,160,"",""}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0">{30,140,350,160,"",""}</definedName>
    <definedName name="вмм">{30,140,350,160,"",""}</definedName>
    <definedName name="вова">#REF!</definedName>
    <definedName name="воз">#REF!</definedName>
    <definedName name="врпороро">#REF!</definedName>
    <definedName name="всмвап" localSheetId="0">{30,140,350,160,"",""}</definedName>
    <definedName name="всмвап">{30,140,350,160,"",""}</definedName>
    <definedName name="вууауава" localSheetId="0">{30,140,350,160,"",""}</definedName>
    <definedName name="вууауава">{30,140,350,160,"",""}</definedName>
    <definedName name="вфвф">#REF!</definedName>
    <definedName name="вфыв" localSheetId="0">TRUNC(([0]!oy-1)/3+1)</definedName>
    <definedName name="вфыв">TRUNC(([0]!oy-1)/3+1)</definedName>
    <definedName name="вфывфыв" localSheetId="0">#REF!</definedName>
    <definedName name="вфывфыв">#REF!</definedName>
    <definedName name="вцка" localSheetId="0">#REF!</definedName>
    <definedName name="вцка">#REF!</definedName>
    <definedName name="вы" localSheetId="0">{30,140,350,160,"",""}</definedName>
    <definedName name="вы">{30,140,350,160,"",""}</definedName>
    <definedName name="выбыло">0</definedName>
    <definedName name="выв">#N/A</definedName>
    <definedName name="вывывыв" localSheetId="0">{30,140,350,160,"",""}</definedName>
    <definedName name="вывывыв">{30,140,350,160,"",""}</definedName>
    <definedName name="вывывывывыв">#REF!</definedName>
    <definedName name="вывывывывывыв">#REF!</definedName>
    <definedName name="вып">[17]режа!$A$1:$R$862</definedName>
    <definedName name="выпвпваып" localSheetId="0" hidden="1">#REF!</definedName>
    <definedName name="выпвпваып" hidden="1">#REF!</definedName>
    <definedName name="Выручка_Внутр" localSheetId="0">#REF!</definedName>
    <definedName name="Выручка_Внутр">#REF!</definedName>
    <definedName name="Выручка_Эксп" localSheetId="0">#REF!</definedName>
    <definedName name="Выручка_Эксп">#REF!</definedName>
    <definedName name="г" localSheetId="0">{30,140,350,160,"",""}</definedName>
    <definedName name="г">{30,140,350,160,"",""}</definedName>
    <definedName name="гажк">#REF!</definedName>
    <definedName name="газ">#REF!</definedName>
    <definedName name="Газв">#REF!</definedName>
    <definedName name="газконденсат">#REF!</definedName>
    <definedName name="галла_нархи">'[18]Фориш 2003'!$O$4</definedName>
    <definedName name="галлаааа">'[19]Фориш 2003'!$O$4</definedName>
    <definedName name="гг">#N/A</definedName>
    <definedName name="ггг">#REF!</definedName>
    <definedName name="ггггг">#REF!</definedName>
    <definedName name="гип">#REF!</definedName>
    <definedName name="гн" localSheetId="0">{30,140,350,160,"",""}</definedName>
    <definedName name="гн">{30,140,350,160,"",""}</definedName>
    <definedName name="гне" localSheetId="0">{30,140,350,160,"",""}</definedName>
    <definedName name="гне">{30,140,350,160,"",""}</definedName>
    <definedName name="гншлно">#N/A</definedName>
    <definedName name="гншщг">#N/A</definedName>
    <definedName name="го">#REF!</definedName>
    <definedName name="год">'[20]Зан-ть(р-ны)'!$5:$5</definedName>
    <definedName name="Год_эск" localSheetId="0">#REF!</definedName>
    <definedName name="Год_эск">#REF!</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0">{30,140,350,160,"",""}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0">{30,140,350,160,"",""}</definedName>
    <definedName name="да">{30,140,350,160,"",""}</definedName>
    <definedName name="Дата">#REF!</definedName>
    <definedName name="Дата_первой_выплаты">#REF!</definedName>
    <definedName name="ддд">#REF!</definedName>
    <definedName name="дддд" localSheetId="0">TRUNC(([0]!oy-1)/3+1)</definedName>
    <definedName name="дддд">TRUNC((oy-1)/3+1)</definedName>
    <definedName name="ддддд" localSheetId="0" hidden="1">#REF!,#REF!,#REF!,#REF!</definedName>
    <definedName name="ддддд" hidden="1">#REF!,#REF!,#REF!,#REF!</definedName>
    <definedName name="ддждлдж">#N/A</definedName>
    <definedName name="дебит" localSheetId="0">#REF!</definedName>
    <definedName name="дебит">#REF!</definedName>
    <definedName name="действующий" localSheetId="0">#REF!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0">#REF!</definedName>
    <definedName name="денги">#REF!</definedName>
    <definedName name="дехконобод" localSheetId="5" hidden="1">{#N/A,#N/A,FALSE,"BODY"}</definedName>
    <definedName name="дехконобод" localSheetId="0" hidden="1">{#N/A,#N/A,FALSE,"BODY"}</definedName>
    <definedName name="дехконобод" hidden="1">{#N/A,#N/A,FALSE,"BODY"}</definedName>
    <definedName name="дзку" localSheetId="5" hidden="1">{#N/A,#N/A,FALSE,"인원";#N/A,#N/A,FALSE,"비용2";#N/A,#N/A,FALSE,"비용1";#N/A,#N/A,FALSE,"비용";#N/A,#N/A,FALSE,"보증2";#N/A,#N/A,FALSE,"보증1";#N/A,#N/A,FALSE,"보증";#N/A,#N/A,FALSE,"손익1";#N/A,#N/A,FALSE,"손익";#N/A,#N/A,FALSE,"부서별매출";#N/A,#N/A,FALSE,"매출"}</definedName>
    <definedName name="дзку" localSheetId="0"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0">{30,140,350,160,"",""}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[21]c!$C$1</definedName>
    <definedName name="Дох" localSheetId="0">#REF!</definedName>
    <definedName name="Дох">#REF!</definedName>
    <definedName name="дтр" localSheetId="0">#REF!</definedName>
    <definedName name="дтр">#REF!</definedName>
    <definedName name="дустл" localSheetId="0">{30,140,350,160,"",""}</definedName>
    <definedName name="дустл">{30,140,350,160,"",""}</definedName>
    <definedName name="е">#N/A</definedName>
    <definedName name="ё" localSheetId="0">{30,140,350,160,"",""}</definedName>
    <definedName name="ё">{30,140,350,160,"",""}</definedName>
    <definedName name="еаншпроо">#N/A</definedName>
    <definedName name="ЁГ" localSheetId="0">TRUNC(([0]!oy-1)/3+1)</definedName>
    <definedName name="ЁГ">TRUNC(([0]!oy-1)/3+1)</definedName>
    <definedName name="ёё" localSheetId="0" hidden="1">#REF!</definedName>
    <definedName name="ёё" hidden="1">#REF!</definedName>
    <definedName name="еее" localSheetId="0">#REF!</definedName>
    <definedName name="еее">#REF!</definedName>
    <definedName name="ёёё">#N/A</definedName>
    <definedName name="ек" localSheetId="0">{30,140,350,160,"",""}</definedName>
    <definedName name="ек">{30,140,350,160,"",""}</definedName>
    <definedName name="еке" localSheetId="0">{30,140,350,160,"",""}</definedName>
    <definedName name="еке">{30,140,350,160,"",""}</definedName>
    <definedName name="емм">#REF!</definedName>
    <definedName name="ен" localSheetId="0">{30,140,350,160,"",""}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0"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 localSheetId="0">#REF!</definedName>
    <definedName name="жалаб">#REF!</definedName>
    <definedName name="жами" localSheetId="0">#REF!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hidden="1">#REF!</definedName>
    <definedName name="жиз">#REF!</definedName>
    <definedName name="Жиззах" localSheetId="0">{30,140,350,160,"",""}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0">#REF!</definedName>
    <definedName name="Закрытый359">#REF!</definedName>
    <definedName name="зал" localSheetId="0">{30,140,350,160,"",""}</definedName>
    <definedName name="зал">{30,140,350,160,"",""}</definedName>
    <definedName name="Запрос1">#REF!</definedName>
    <definedName name="Зарплата_1">#REF!</definedName>
    <definedName name="Зарплата_2">#REF!</definedName>
    <definedName name="зафар" localSheetId="0">{30,140,350,160,"",""}</definedName>
    <definedName name="зафар">{30,140,350,160,"",""}</definedName>
    <definedName name="зд" localSheetId="0">#REF!,#REF!,#REF!</definedName>
    <definedName name="зд">#REF!,#REF!,#REF!</definedName>
    <definedName name="земельный" localSheetId="0" hidden="1">[22]фев!#REF!</definedName>
    <definedName name="земельный" hidden="1">[22]фев!#REF!</definedName>
    <definedName name="зж" localSheetId="0">{30,140,350,160,"",""}</definedName>
    <definedName name="зж">{30,140,350,160,"",""}</definedName>
    <definedName name="зол">[23]Input3!$C$9</definedName>
    <definedName name="зоо" localSheetId="0">#REF!</definedName>
    <definedName name="зоо">#REF!</definedName>
    <definedName name="зщ" localSheetId="0">{30,140,350,160,"",""}</definedName>
    <definedName name="зщ">{30,140,350,160,"",""}</definedName>
    <definedName name="и">#REF!</definedName>
    <definedName name="й">#N/A</definedName>
    <definedName name="идёт" localSheetId="0">#REF!</definedName>
    <definedName name="идёт">#REF!</definedName>
    <definedName name="иепр" localSheetId="0">#REF!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йй" localSheetId="0">#REF!</definedName>
    <definedName name="йй">#REF!</definedName>
    <definedName name="иии" localSheetId="0">#REF!</definedName>
    <definedName name="иии">#REF!</definedName>
    <definedName name="ййй" localSheetId="0">#REF!</definedName>
    <definedName name="ййй">#REF!</definedName>
    <definedName name="ииии" localSheetId="0">{30,140,350,160,"",""}</definedName>
    <definedName name="ииии">{30,140,350,160,"",""}</definedName>
    <definedName name="ЙЙЙЙ" localSheetId="0" hidden="1">#REF!</definedName>
    <definedName name="ЙЙЙЙ" hidden="1">#REF!</definedName>
    <definedName name="ййййййййййййййййййй" localSheetId="0">TRUNC(([0]!oy-1)/3+1)</definedName>
    <definedName name="ййййййййййййййййййй">TRUNC((oy-1)/3+1)</definedName>
    <definedName name="йййййййййййййййййййййййй" localSheetId="0">TRUNC(([0]!oy-1)/3+1)</definedName>
    <definedName name="йййййййййййййййййййййййй">TRUNC((oy-1)/3+1)</definedName>
    <definedName name="иииииитт" localSheetId="0">{30,140,350,160,"",""}</definedName>
    <definedName name="иииииитт">{30,140,350,160,"",""}</definedName>
    <definedName name="ййцйцйцйцйц" localSheetId="0" hidden="1">#REF!</definedName>
    <definedName name="ййцйцйцйцйц" hidden="1">#REF!</definedName>
    <definedName name="икки">'[16]Ер Ресурс'!#REF!</definedName>
    <definedName name="ил" localSheetId="0">#REF!</definedName>
    <definedName name="ил">#REF!</definedName>
    <definedName name="илрлгрлш" localSheetId="0">#REF!</definedName>
    <definedName name="илрлгрлш">#REF!</definedName>
    <definedName name="илхом" localSheetId="0">#REF!</definedName>
    <definedName name="илхом">#REF!</definedName>
    <definedName name="ИЛЬЯС">#REF!</definedName>
    <definedName name="им">#N/A</definedName>
    <definedName name="имиттампа" localSheetId="0">{30,140,350,160,"",""}</definedName>
    <definedName name="имиттампа">{30,140,350,160,"",""}</definedName>
    <definedName name="имп">#REF!</definedName>
    <definedName name="импорт">#REF!</definedName>
    <definedName name="импорт222">#REF!</definedName>
    <definedName name="имспрп" localSheetId="0">{30,140,350,160,"",""}</definedName>
    <definedName name="имспрп">{30,140,350,160,"",""}</definedName>
    <definedName name="имтим">#N/A</definedName>
    <definedName name="имывяол" localSheetId="0">{30,140,350,160,"",""}</definedName>
    <definedName name="имывяол">{30,140,350,160,"",""}</definedName>
    <definedName name="имыясм" localSheetId="0">{30,140,350,160,"",""}</definedName>
    <definedName name="имыясм">{30,140,350,160,"",""}</definedName>
    <definedName name="ин">#REF!</definedName>
    <definedName name="инвестиция">#REF!</definedName>
    <definedName name="инкасса" localSheetId="0">{30,140,350,160,"",""}</definedName>
    <definedName name="инкасса">{30,140,350,160,"",""}</definedName>
    <definedName name="ип">#N/A</definedName>
    <definedName name="ипак">#N/A</definedName>
    <definedName name="ипр" localSheetId="0">{30,140,350,160,"",""}</definedName>
    <definedName name="ипр">{30,140,350,160,"",""}</definedName>
    <definedName name="ипрол" localSheetId="0" hidden="1">#REF!</definedName>
    <definedName name="ипрол" hidden="1">#REF!</definedName>
    <definedName name="ислом" localSheetId="0">{30,140,350,160,"",""}</definedName>
    <definedName name="ислом">{30,140,350,160,"",""}</definedName>
    <definedName name="исм" localSheetId="0">{30,140,350,160,"",""}</definedName>
    <definedName name="исм">{30,140,350,160,"",""}</definedName>
    <definedName name="итог">#N/A</definedName>
    <definedName name="итог1" localSheetId="5">дел/1000</definedName>
    <definedName name="итог1" localSheetId="3">дел/1000</definedName>
    <definedName name="итог1" localSheetId="0">дел/1000</definedName>
    <definedName name="итог1">дел/1000</definedName>
    <definedName name="итог2" localSheetId="5">дел/1000</definedName>
    <definedName name="итог2" localSheetId="3">дел/1000</definedName>
    <definedName name="итог2" localSheetId="0">дел/1000</definedName>
    <definedName name="итог2">дел/1000</definedName>
    <definedName name="Итого" localSheetId="5">дел/1000</definedName>
    <definedName name="Итого" localSheetId="3">дел/1000</definedName>
    <definedName name="Итого" localSheetId="0">дел/1000</definedName>
    <definedName name="Итого">дел/1000</definedName>
    <definedName name="Йуклама" localSheetId="0">{30,140,350,160,"",""}</definedName>
    <definedName name="Йуклама">{30,140,350,160,"",""}</definedName>
    <definedName name="йфя">#REF!</definedName>
    <definedName name="йц" localSheetId="0">{30,140,350,160,"",""}</definedName>
    <definedName name="йц">{30,140,350,160,"",""}</definedName>
    <definedName name="Иш" localSheetId="0">#REF!</definedName>
    <definedName name="Иш">#REF!</definedName>
    <definedName name="к">#N/A</definedName>
    <definedName name="К.рем" localSheetId="0">#REF!</definedName>
    <definedName name="К.рем">#REF!</definedName>
    <definedName name="к_с3" localSheetId="0">#REF!</definedName>
    <definedName name="к_с3">#REF!</definedName>
    <definedName name="к_с4" localSheetId="0">#REF!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5" hidden="1">{"'Monthly 1997'!$A$3:$S$89"}</definedName>
    <definedName name="Карбамид" localSheetId="0"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0">{30,140,350,160,"",""}</definedName>
    <definedName name="кацуац">{30,140,350,160,"",""}</definedName>
    <definedName name="каш">#REF!</definedName>
    <definedName name="Кашк" localSheetId="0">TRUNC(([0]!oy-1)/3+1)</definedName>
    <definedName name="Кашк">TRUNC((oy-1)/3+1)</definedName>
    <definedName name="кашка" localSheetId="0">#REF!</definedName>
    <definedName name="кашка">#REF!</definedName>
    <definedName name="Кашкадарё" localSheetId="0">#REF!</definedName>
    <definedName name="Кашкадарё">#REF!</definedName>
    <definedName name="кв">'[20]Зан-ть(р-ны)'!$5:$5</definedName>
    <definedName name="квар" localSheetId="0">#REF!</definedName>
    <definedName name="квар">#REF!</definedName>
    <definedName name="кгшн">#N/A</definedName>
    <definedName name="кгшншг">#N/A</definedName>
    <definedName name="ке" localSheetId="0">{30,140,350,160,"",""}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0">{30,140,350,160,"",""}</definedName>
    <definedName name="кен">{30,140,350,160,"",""}</definedName>
    <definedName name="кенпа">#N/A</definedName>
    <definedName name="кз">#REF!</definedName>
    <definedName name="КИП">#REF!</definedName>
    <definedName name="кис">#REF!</definedName>
    <definedName name="кк" localSheetId="0">{30,140,350,160,"",""}</definedName>
    <definedName name="кк">{30,140,350,160,"",""}</definedName>
    <definedName name="ККан">#REF!</definedName>
    <definedName name="ккк">#REF!</definedName>
    <definedName name="км">#REF!</definedName>
    <definedName name="книга10" localSheetId="0">DATE([0]!yil,[0]!oy,1)</definedName>
    <definedName name="книга10">DATE([0]!yil,[0]!oy,1)</definedName>
    <definedName name="кнс" localSheetId="0">#REF!</definedName>
    <definedName name="кнс">#REF!</definedName>
    <definedName name="ко1" localSheetId="0">#REF!</definedName>
    <definedName name="ко1">#REF!</definedName>
    <definedName name="ко2" localSheetId="0">#REF!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0">#REF!,#REF!,#REF!,#REF!,#REF!,#REF!,#REF!,#REF!,#REF!</definedName>
    <definedName name="константы">#REF!,#REF!,#REF!,#REF!,#REF!,#REF!,#REF!,#REF!,#REF!</definedName>
    <definedName name="копия" localSheetId="0">#REF!</definedName>
    <definedName name="копия">#REF!</definedName>
    <definedName name="Кораколпок" localSheetId="0">#REF!</definedName>
    <definedName name="Кораколпок">#REF!</definedName>
    <definedName name="коха" localSheetId="0">#REF!</definedName>
    <definedName name="коха">#REF!</definedName>
    <definedName name="кп">#REF!</definedName>
    <definedName name="кр">#REF!</definedName>
    <definedName name="крат">#REF!</definedName>
    <definedName name="кре">#N/A</definedName>
    <definedName name="кред">#REF!</definedName>
    <definedName name="кредит" localSheetId="0">DATE([0]!yil,[0]!oy,1)</definedName>
    <definedName name="кредит">DATE(yil,oy,1)</definedName>
    <definedName name="Кредит_Б__в_USD">#REF!</definedName>
    <definedName name="Кредит2">#N/A</definedName>
    <definedName name="_xlnm.Criteria" localSheetId="0">#REF!</definedName>
    <definedName name="_xlnm.Criteria">#REF!</definedName>
    <definedName name="ку" localSheetId="0">{30,140,350,160,"",""}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0">{30,140,350,160,"",""}</definedName>
    <definedName name="Кулок">{30,140,350,160,"",""}</definedName>
    <definedName name="кулоко" localSheetId="0">{30,140,350,160,"",""}</definedName>
    <definedName name="кулоко">{30,140,350,160,"",""}</definedName>
    <definedName name="култивация">#REF!</definedName>
    <definedName name="культи">'[24]Фориш 2003'!$O$4</definedName>
    <definedName name="кунда" localSheetId="0">#REF!</definedName>
    <definedName name="кунда">#REF!</definedName>
    <definedName name="купкари" localSheetId="0">#REF!</definedName>
    <definedName name="купкари">#REF!</definedName>
    <definedName name="куподлоқпждлвао" localSheetId="0" hidden="1">#REF!</definedName>
    <definedName name="куподлоқпждлвао" hidden="1">#REF!</definedName>
    <definedName name="курс">#REF!</definedName>
    <definedName name="Курс_0198">'[25]Поток реальных денег'!#REF!</definedName>
    <definedName name="Курс_USD">#REF!</definedName>
    <definedName name="Кўрсаткичлар">#N/A</definedName>
    <definedName name="кутча" localSheetId="0">{30,140,350,160,"",""}</definedName>
    <definedName name="кутча">{30,140,350,160,"",""}</definedName>
    <definedName name="куш">'[26]Зан-ть(р-ны)'!$5:$5</definedName>
    <definedName name="куш.жад" localSheetId="0">TRUNC(([0]!oy-1)/3+1)</definedName>
    <definedName name="куш.жад">TRUNC(([0]!oy-1)/3+1)</definedName>
    <definedName name="кц" localSheetId="0">{30,140,350,160,"",""}</definedName>
    <definedName name="кц">{30,140,350,160,"",""}</definedName>
    <definedName name="КЭ">#REF!</definedName>
    <definedName name="қвапп" localSheetId="0">DATE([0]!yil,[0]!oy,1)</definedName>
    <definedName name="қвапп">DATE([0]!yil,[0]!oy,1)</definedName>
    <definedName name="л">#N/A</definedName>
    <definedName name="ЛAPX1" localSheetId="0">#REF!</definedName>
    <definedName name="ЛAPX1">#REF!</definedName>
    <definedName name="ЛAPX2" localSheetId="0">#REF!</definedName>
    <definedName name="ЛAPX2">#REF!</definedName>
    <definedName name="ЛAPX3" localSheetId="0">#REF!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0">TRUNC(([0]!oy-1)/3+1)</definedName>
    <definedName name="ликвид">TRUNC((oy-1)/3+1)</definedName>
    <definedName name="лист" localSheetId="0">#REF!</definedName>
    <definedName name="лист">#REF!</definedName>
    <definedName name="Лист_1">#N/A</definedName>
    <definedName name="лист2">#N/A</definedName>
    <definedName name="лит" localSheetId="0">{30,140,350,160,"",""}</definedName>
    <definedName name="лит">{30,140,350,160,"",""}</definedName>
    <definedName name="ЛИтоги">#REF!</definedName>
    <definedName name="ЛКр">#REF!</definedName>
    <definedName name="ЛКред">#REF!</definedName>
    <definedName name="лл" localSheetId="0">{30,140,350,160,"",""}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0">{30,140,350,160,"",""}</definedName>
    <definedName name="ло">{30,140,350,160,"",""}</definedName>
    <definedName name="ЛОбл">#REF!</definedName>
    <definedName name="ЛокализацияBPU">#REF!</definedName>
    <definedName name="ЛокализацияDAMAS" localSheetId="0">#REF!,#REF!,#REF!</definedName>
    <definedName name="ЛокализацияDAMAS">#REF!,#REF!,#REF!</definedName>
    <definedName name="ЛокализацияLGLL" localSheetId="0">#REF!</definedName>
    <definedName name="ЛокализацияLGLL">#REF!</definedName>
    <definedName name="ЛокализацияTICO" localSheetId="0">#REF!</definedName>
    <definedName name="ЛокализацияTICO">#REF!</definedName>
    <definedName name="ЛокализацияWFL" localSheetId="0">#REF!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0">{30,140,350,160,"",""}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готный_период">#REF!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0">DATE([0]!yil,[0]!oy,1)</definedName>
    <definedName name="май">DATE([0]!yil,[0]!oy,1)</definedName>
    <definedName name="Макрос1">#N/A</definedName>
    <definedName name="Макрос2" localSheetId="0">#REF!</definedName>
    <definedName name="Макрос2">#REF!</definedName>
    <definedName name="Макрос3" localSheetId="0">#REF!</definedName>
    <definedName name="Макрос3">#REF!</definedName>
    <definedName name="мал" localSheetId="0">#REF!</definedName>
    <definedName name="мал">#REF!</definedName>
    <definedName name="манзилли">#REF!</definedName>
    <definedName name="марка">[27]s!$Q$124</definedName>
    <definedName name="маруф" localSheetId="0">#REF!</definedName>
    <definedName name="маруф">#REF!</definedName>
    <definedName name="массив" localSheetId="0">#REF!</definedName>
    <definedName name="массив">#REF!</definedName>
    <definedName name="массив_1" localSheetId="0">#REF!</definedName>
    <definedName name="массив_1">#REF!</definedName>
    <definedName name="Массив_обл">#N/A</definedName>
    <definedName name="Массив_СвС">#N/A</definedName>
    <definedName name="машина" localSheetId="0">{30,140,350,160,"",""}</definedName>
    <definedName name="машина">{30,140,350,160,"",""}</definedName>
    <definedName name="МАЪЛУМОТ">#REF!</definedName>
    <definedName name="мева">#REF!</definedName>
    <definedName name="медь">[23]Input3!$C$7</definedName>
    <definedName name="Местные_продажи">#REF!</definedName>
    <definedName name="мз" localSheetId="0">#REF!</definedName>
    <definedName name="мз">#REF!</definedName>
    <definedName name="МЗ_1" localSheetId="0">#REF!</definedName>
    <definedName name="МЗ_1">#REF!</definedName>
    <definedName name="МЗ_2" localSheetId="0">#REF!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0">{30,140,350,160,"",""}</definedName>
    <definedName name="мирз">{30,140,350,160,"",""}</definedName>
    <definedName name="Мирзачул">'[28]Фориш 2003'!$O$4</definedName>
    <definedName name="мм" localSheetId="0">#REF!</definedName>
    <definedName name="мм">#REF!</definedName>
    <definedName name="ммм" localSheetId="0">#REF!</definedName>
    <definedName name="ммм">#REF!</definedName>
    <definedName name="мммм" localSheetId="0">#REF!</definedName>
    <definedName name="мммм">#REF!</definedName>
    <definedName name="ммммм">#REF!</definedName>
    <definedName name="мол">[23]Input3!$C$8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0">{30,140,350,160,"",""}</definedName>
    <definedName name="мссиииисс">{30,140,350,160,"",""}</definedName>
    <definedName name="МССЯВВАВВФФ" localSheetId="0">{30,140,350,160,"",""}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#REF!</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0">{30,140,350,160,"",""}</definedName>
    <definedName name="не">{30,140,350,160,"",""}</definedName>
    <definedName name="негнопо">#N/A</definedName>
    <definedName name="неукв">#N/A</definedName>
    <definedName name="нилуфа">#REF!</definedName>
    <definedName name="нилуфар">#REF!</definedName>
    <definedName name="нк" localSheetId="0">{30,140,350,160,"",""}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[29]Нарх!$A$1:$P$248</definedName>
    <definedName name="нояб" localSheetId="0">#REF!</definedName>
    <definedName name="нояб">#REF!</definedName>
    <definedName name="нргшщ">#N/A</definedName>
    <definedName name="нук" localSheetId="0">TRUNC(([0]!oy-1)/3+1)</definedName>
    <definedName name="нук">TRUNC((oy-1)/3+1)</definedName>
    <definedName name="нур" localSheetId="0">#REF!</definedName>
    <definedName name="нур">#REF!</definedName>
    <definedName name="о" localSheetId="0">{30,140,350,160,"",""}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6">'1'!$A$87:$J$192</definedName>
    <definedName name="_xlnm.Print_Area" localSheetId="4">CashFlow!$A$1:$M$31</definedName>
    <definedName name="_xlnm.Print_Area" localSheetId="5">'NPV-IRR-PI-PP (2)'!$A$3:$AE$32</definedName>
    <definedName name="_xlnm.Print_Area" localSheetId="3">ПаспортEng!$M$3:$W$48</definedName>
    <definedName name="_xlnm.Print_Area" localSheetId="0">ПаспортRUS!$B$1:$I$77</definedName>
    <definedName name="_xlnm.Print_Area" localSheetId="2">ПаспортРУС!$Y$3:$AI$48</definedName>
    <definedName name="_xlnm.Print_Area">#REF!</definedName>
    <definedName name="областя"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0">{30,140,350,160,"",""}</definedName>
    <definedName name="Оболожка">{30,140,350,160,"",""}</definedName>
    <definedName name="Объем">#REF!</definedName>
    <definedName name="Объем_внутр">#REF!</definedName>
    <definedName name="Объем_эксп">#REF!</definedName>
    <definedName name="объем100">#REF!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0">{30,140,350,160,"",""}</definedName>
    <definedName name="ол">{30,140,350,160,"",""}</definedName>
    <definedName name="ола">'[30]Гай пахта'!#REF!</definedName>
    <definedName name="олг" localSheetId="0">#REF!</definedName>
    <definedName name="олг">#REF!</definedName>
    <definedName name="олдл" localSheetId="0">{30,140,350,160,"",""}</definedName>
    <definedName name="олдл">{30,140,350,160,"",""}</definedName>
    <definedName name="олдордлро">#N/A</definedName>
    <definedName name="олл">#N/A</definedName>
    <definedName name="олма" localSheetId="0" hidden="1">#REF!</definedName>
    <definedName name="олма" hidden="1">#REF!</definedName>
    <definedName name="олмалик" localSheetId="0" hidden="1">#REF!</definedName>
    <definedName name="олмалик" hidden="1">#REF!</definedName>
    <definedName name="олмос" localSheetId="0">'[30]Гай пахта'!#REF!</definedName>
    <definedName name="олмос">'[30]Гай пахта'!#REF!</definedName>
    <definedName name="олполднгл">#N/A</definedName>
    <definedName name="олр" localSheetId="0">#REF!</definedName>
    <definedName name="олр">#REF!</definedName>
    <definedName name="олролрлор" localSheetId="0">#REF!</definedName>
    <definedName name="олролрлор">#REF!</definedName>
    <definedName name="олтин_дала">#REF!</definedName>
    <definedName name="ольга" localSheetId="5" hidden="1">{#N/A,#N/A,FALSE,"BODY"}</definedName>
    <definedName name="ольга" localSheetId="0" hidden="1">{#N/A,#N/A,FALSE,"BODY"}</definedName>
    <definedName name="ольга" hidden="1">{#N/A,#N/A,FALSE,"BODY"}</definedName>
    <definedName name="оля">#REF!</definedName>
    <definedName name="оля1">#REF!</definedName>
    <definedName name="ооллолол" localSheetId="0" hidden="1">#REF!</definedName>
    <definedName name="ооллолол" hidden="1">#REF!</definedName>
    <definedName name="оолол">#REF!</definedName>
    <definedName name="ооо">#REF!</definedName>
    <definedName name="оооо" localSheetId="0">TRUNC(([0]!oy-1)/3+1)</definedName>
    <definedName name="оооо">TRUNC((oy-1)/3+1)</definedName>
    <definedName name="ооооо" localSheetId="0">#REF!</definedName>
    <definedName name="ооооо">#REF!</definedName>
    <definedName name="оп" localSheetId="0">#REF!</definedName>
    <definedName name="оп">#REF!</definedName>
    <definedName name="опдбродролд">#N/A</definedName>
    <definedName name="оплопла" localSheetId="0">#REF!</definedName>
    <definedName name="оплопла">#REF!</definedName>
    <definedName name="ор" localSheetId="0">#REF!</definedName>
    <definedName name="ор">#REF!</definedName>
    <definedName name="орде" localSheetId="0">#REF!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5">[0]!_a1Z,[0]!_a2Z</definedName>
    <definedName name="отработано" localSheetId="3">[2]!_a1Z,[2]!_a2Z</definedName>
    <definedName name="отработано" localSheetId="0">[0]!_a1Z,[0]!_a2Z</definedName>
    <definedName name="отработано">[0]!_a1Z,[0]!_a2Z</definedName>
    <definedName name="отрасль" localSheetId="0">#REF!</definedName>
    <definedName name="отрасль">#REF!</definedName>
    <definedName name="оьтлодламп" localSheetId="0">{30,140,350,160,"",""}</definedName>
    <definedName name="оьтлодламп">{30,140,350,160,"",""}</definedName>
    <definedName name="п">#N/A</definedName>
    <definedName name="П\роцентная_ставка">#REF!</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0">{30,140,350,160,"",""}</definedName>
    <definedName name="пахта">{30,140,350,160,"",""}</definedName>
    <definedName name="пахта2" localSheetId="0">{30,140,350,160,"",""}</definedName>
    <definedName name="пахта2">{30,140,350,160,"",""}</definedName>
    <definedName name="пахта3" localSheetId="0">{30,140,350,160,"",""}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5">прилож3/1000</definedName>
    <definedName name="пппппп" localSheetId="3">прилож3/1000</definedName>
    <definedName name="пппппп" localSheetId="0">прилож3/1000</definedName>
    <definedName name="пппппп">прилож3/1000</definedName>
    <definedName name="пппр" localSheetId="0">#REF!</definedName>
    <definedName name="пппр">#REF!</definedName>
    <definedName name="ппр">#N/A</definedName>
    <definedName name="пр">#N/A</definedName>
    <definedName name="пренгш" localSheetId="0">#REF!</definedName>
    <definedName name="пренгш">#REF!</definedName>
    <definedName name="Прил.9..">'[31]Зан-ть(р-ны)'!$5:$5</definedName>
    <definedName name="Прил3" localSheetId="5">[0]!прилож3/1000</definedName>
    <definedName name="Прил3" localSheetId="3">[2]!прилож3/1000</definedName>
    <definedName name="Прил3" localSheetId="0">[0]!прилож3/1000</definedName>
    <definedName name="Прил3">[0]!прилож3/1000</definedName>
    <definedName name="Прил5" localSheetId="5">дел/1000</definedName>
    <definedName name="Прил5" localSheetId="3">дел/1000</definedName>
    <definedName name="Прил5" localSheetId="0">дел/1000</definedName>
    <definedName name="Прил5">дел/1000</definedName>
    <definedName name="приложение" localSheetId="5">дел/1000</definedName>
    <definedName name="приложение" localSheetId="3">дел/1000</definedName>
    <definedName name="приложение" localSheetId="0">дел/1000</definedName>
    <definedName name="приложение">дел/1000</definedName>
    <definedName name="ПРИХ">35000</definedName>
    <definedName name="прлордлюдл">#N/A</definedName>
    <definedName name="про" localSheetId="0">'[32]уюшмага10,09 холатига'!#REF!</definedName>
    <definedName name="про">'[32]уюшмага10,09 холатига'!#REF!</definedName>
    <definedName name="про1" localSheetId="0">#REF!</definedName>
    <definedName name="про1">#REF!</definedName>
    <definedName name="проба" localSheetId="0" hidden="1">#REF!,#REF!</definedName>
    <definedName name="проба" hidden="1">#REF!,#REF!</definedName>
    <definedName name="Прог" localSheetId="0">TRUNC(([0]!oy-1)/3+1)</definedName>
    <definedName name="Прог">TRUNC((oy-1)/3+1)</definedName>
    <definedName name="Прогноз" localSheetId="0">#REF!</definedName>
    <definedName name="Прогноз">#REF!</definedName>
    <definedName name="ПРОГНОЗНЫЕ_ПАРАМЕТРЫ_РАСХОДОВ">#N/A</definedName>
    <definedName name="программа" localSheetId="0">TRUNC(([0]!oy-1)/3+1)</definedName>
    <definedName name="программа">TRUNC((oy-1)/3+1)</definedName>
    <definedName name="прод">#N/A</definedName>
    <definedName name="прок" localSheetId="0">#REF!</definedName>
    <definedName name="прок">#REF!</definedName>
    <definedName name="прокуратура" localSheetId="0">DATE([0]!yil,[0]!oy,1)</definedName>
    <definedName name="прокуратура">DATE([0]!yil,[0]!oy,1)</definedName>
    <definedName name="пром2">#N/A</definedName>
    <definedName name="прост" localSheetId="0">#REF!</definedName>
    <definedName name="прост">#REF!</definedName>
    <definedName name="процент_на_маркетинг">#REF!</definedName>
    <definedName name="проч" localSheetId="0">TRUNC(([0]!oy-1)/3+1)</definedName>
    <definedName name="проч">TRUNC((oy-1)/3+1)</definedName>
    <definedName name="Прочие" localSheetId="0">#REF!</definedName>
    <definedName name="Прочие">#REF!</definedName>
    <definedName name="прпо">#N/A</definedName>
    <definedName name="прпр123" localSheetId="0">#REF!</definedName>
    <definedName name="прпр123">#REF!</definedName>
    <definedName name="прпрпр">#N/A</definedName>
    <definedName name="прпрпрпр" localSheetId="0">#REF!</definedName>
    <definedName name="прпрпрпр">#REF!</definedName>
    <definedName name="прпрпрпрпрпрпрпрпрп" localSheetId="5" hidden="1">{"'Monthly 1997'!$A$3:$S$89"}</definedName>
    <definedName name="прпрпрпрпрпрпрпрпрп" localSheetId="0"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[29]Пункт!$A$1:$B$9</definedName>
    <definedName name="пх" localSheetId="0">#REF!</definedName>
    <definedName name="пх">#REF!</definedName>
    <definedName name="пшднгшгн">#N/A</definedName>
    <definedName name="р" localSheetId="0">{30,140,350,160,"",""}</definedName>
    <definedName name="р">{30,140,350,160,"",""}</definedName>
    <definedName name="район" localSheetId="0">{30,140,350,160,"",""}</definedName>
    <definedName name="район">{30,140,350,160,"",""}</definedName>
    <definedName name="Районы1">[33]данные!$A$1</definedName>
    <definedName name="рас" localSheetId="0">#REF!</definedName>
    <definedName name="рас">#REF!</definedName>
    <definedName name="рассмотрительная2" localSheetId="0">#REF!</definedName>
    <definedName name="рассмотрительная2">#REF!</definedName>
    <definedName name="РАСХ">0</definedName>
    <definedName name="Расход_2004_Лист3__2__Таблица" localSheetId="0">#REF!</definedName>
    <definedName name="Расход_2004_Лист3__2__Таблица">#REF!</definedName>
    <definedName name="Расход_2004_Лист3__2__Таблица1">#REF!</definedName>
    <definedName name="Расход_2004_Лист3__2__Таблица2" localSheetId="0">#REF!,#REF!</definedName>
    <definedName name="Расход_2004_Лист3__2__Таблица2">#REF!,#REF!</definedName>
    <definedName name="расходы" localSheetId="0">#REF!</definedName>
    <definedName name="расходы">#REF!</definedName>
    <definedName name="расчет" localSheetId="5">дел/1000</definedName>
    <definedName name="расчет" localSheetId="3">дел/1000</definedName>
    <definedName name="расчет" localSheetId="0">дел/1000</definedName>
    <definedName name="расчет">дел/1000</definedName>
    <definedName name="расчета">36465</definedName>
    <definedName name="Рахбарга" localSheetId="0">#REF!</definedName>
    <definedName name="Рахбарга">#REF!</definedName>
    <definedName name="Рахбарлар">[34]База!$E$2:$E$5</definedName>
    <definedName name="ре" localSheetId="0">#REF!</definedName>
    <definedName name="ре">#REF!</definedName>
    <definedName name="реалп" localSheetId="0">#REF!</definedName>
    <definedName name="реалп">#REF!</definedName>
    <definedName name="рег" localSheetId="0">#REF!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0">{30,140,350,160,"",""}</definedName>
    <definedName name="режа">{30,140,350,160,"",""}</definedName>
    <definedName name="Рек">#REF!</definedName>
    <definedName name="_xlnm.Recorder">#REF!</definedName>
    <definedName name="рес" localSheetId="0">TRUNC(([0]!oy-1)/3+1)</definedName>
    <definedName name="рес">TRUNC((oy-1)/3+1)</definedName>
    <definedName name="респ" localSheetId="0">TRUNC(([0]!oy-1)/3+1)</definedName>
    <definedName name="респ">TRUNC((oy-1)/3+1)</definedName>
    <definedName name="рл">#N/A</definedName>
    <definedName name="рлжлджролд">#N/A</definedName>
    <definedName name="рлр" localSheetId="0">TRUNC(([0]!oy-1)/3+1)</definedName>
    <definedName name="рлр">TRUNC((oy-1)/3+1)</definedName>
    <definedName name="ро">#REF!</definedName>
    <definedName name="робюлюб">#N/A</definedName>
    <definedName name="розжзщ">#N/A</definedName>
    <definedName name="рол" localSheetId="0">#REF!</definedName>
    <definedName name="рол">#REF!</definedName>
    <definedName name="ролбрп">#N/A</definedName>
    <definedName name="ролдгнш">#N/A</definedName>
    <definedName name="ролдорбд">#N/A</definedName>
    <definedName name="ролр">#N/A</definedName>
    <definedName name="роол" localSheetId="0">#REF!</definedName>
    <definedName name="роол">#REF!</definedName>
    <definedName name="роопропроп" localSheetId="0">TRUNC(([0]!oy-1)/3+1)</definedName>
    <definedName name="роопропроп">TRUNC((oy-1)/3+1)</definedName>
    <definedName name="ропо" localSheetId="0">{30,140,350,160,"",""}</definedName>
    <definedName name="ропо">{30,140,350,160,"",""}</definedName>
    <definedName name="ропопролегл">#N/A</definedName>
    <definedName name="ропропро">#N/A</definedName>
    <definedName name="рор">#REF!</definedName>
    <definedName name="роророрпорпо" localSheetId="0">DATE([0]!yil,[0]!oy,1)</definedName>
    <definedName name="роророрпорпо">DATE([0]!yil,[0]!oy,1)</definedName>
    <definedName name="рорпрр" localSheetId="0">{30,140,350,160,"",""}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0">{30,140,350,160,"",""}</definedName>
    <definedName name="рр">{30,140,350,160,"",""}</definedName>
    <definedName name="ррр">#REF!</definedName>
    <definedName name="ррррр">#REF!</definedName>
    <definedName name="рррррр" localSheetId="5">[0]!дел/1000</definedName>
    <definedName name="рррррр" localSheetId="3">[2]!дел/1000</definedName>
    <definedName name="рррррр" localSheetId="0">[0]!дел/1000</definedName>
    <definedName name="рррррр">[0]!дел/1000</definedName>
    <definedName name="ррррррррр" localSheetId="0">#REF!</definedName>
    <definedName name="ррррррррр">#REF!</definedName>
    <definedName name="ррррррррррр" localSheetId="5">прилож3/1000</definedName>
    <definedName name="ррррррррррр" localSheetId="3">прилож3/1000</definedName>
    <definedName name="ррррррррррр" localSheetId="0">прилож3/1000</definedName>
    <definedName name="ррррррррррр">прилож3/1000</definedName>
    <definedName name="рррррррррррр" localSheetId="0">#REF!</definedName>
    <definedName name="рррррррррррр">#REF!</definedName>
    <definedName name="РСЦ" localSheetId="0">#REF!</definedName>
    <definedName name="РСЦ">#REF!</definedName>
    <definedName name="рукд" localSheetId="0">#REF!</definedName>
    <definedName name="рукд">#REF!</definedName>
    <definedName name="рукс">#REF!</definedName>
    <definedName name="рус">#REF!</definedName>
    <definedName name="рфььук" localSheetId="5">дел/1000</definedName>
    <definedName name="рфььук" localSheetId="3">дел/1000</definedName>
    <definedName name="рфььук" localSheetId="0">дел/1000</definedName>
    <definedName name="рфььук">дел/1000</definedName>
    <definedName name="рыва" localSheetId="0">#REF!</definedName>
    <definedName name="рыва">#REF!</definedName>
    <definedName name="рывр" localSheetId="0">#REF!</definedName>
    <definedName name="рывр">#REF!</definedName>
    <definedName name="рын">'[9]Зан-ть(р-ны)'!$5:$5</definedName>
    <definedName name="рынок">'[35]Зан-ть(р-ны)'!$5:$5</definedName>
    <definedName name="с" localSheetId="0" hidden="1">#REF!</definedName>
    <definedName name="с" hidden="1">#REF!</definedName>
    <definedName name="С29" localSheetId="0">#REF!</definedName>
    <definedName name="С29">#REF!</definedName>
    <definedName name="с519" localSheetId="0">#REF!</definedName>
    <definedName name="с519">#REF!</definedName>
    <definedName name="с52">#REF!</definedName>
    <definedName name="с53">#REF!</definedName>
    <definedName name="с86">#REF!</definedName>
    <definedName name="сам" localSheetId="0">{30,140,350,160,"",""}</definedName>
    <definedName name="сам">{30,140,350,160,"",""}</definedName>
    <definedName name="Самарканд">#REF!</definedName>
    <definedName name="Санжар" localSheetId="0">{30,140,350,160,"",""}</definedName>
    <definedName name="Санжар">{30,140,350,160,"",""}</definedName>
    <definedName name="сб">#REF!</definedName>
    <definedName name="св">#REF!</definedName>
    <definedName name="свод" localSheetId="0">#REF!,#REF!,#REF!</definedName>
    <definedName name="свод">#REF!,#REF!,#REF!</definedName>
    <definedName name="свод_кор" localSheetId="5">дел/1000</definedName>
    <definedName name="свод_кор" localSheetId="3">дел/1000</definedName>
    <definedName name="свод_кор" localSheetId="0">дел/1000</definedName>
    <definedName name="свод_кор">дел/1000</definedName>
    <definedName name="сводка" localSheetId="0">{30,140,350,160,"",""}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0">{30,140,350,160,"",""}</definedName>
    <definedName name="сел">{30,140,350,160,"",""}</definedName>
    <definedName name="Сельхоз">#N/A</definedName>
    <definedName name="сен">#REF!</definedName>
    <definedName name="сер">[36]Input3!$C$15</definedName>
    <definedName name="Сирдарё">#REF!</definedName>
    <definedName name="Скважин">#REF!</definedName>
    <definedName name="сл">#REF!</definedName>
    <definedName name="см">#N/A</definedName>
    <definedName name="смавввсмсм" localSheetId="0">{30,140,350,160,"",""}</definedName>
    <definedName name="смавввсмсм">{30,140,350,160,"",""}</definedName>
    <definedName name="смимими" localSheetId="0">{30,140,350,160,"",""}</definedName>
    <definedName name="смимими">{30,140,350,160,"",""}</definedName>
    <definedName name="сопос">#REF!</definedName>
    <definedName name="сохалар" localSheetId="0" hidden="1">#REF!</definedName>
    <definedName name="сохалар" hidden="1">#REF!</definedName>
    <definedName name="соц" localSheetId="0">#REF!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к_пользования_кредитом">#REF!</definedName>
    <definedName name="срочно">#N/A</definedName>
    <definedName name="срропар">#N/A</definedName>
    <definedName name="Сртук_ДАгр">#N/A</definedName>
    <definedName name="сс">#REF!</definedName>
    <definedName name="ссмсмва" localSheetId="0">{30,140,350,160,"",""}</definedName>
    <definedName name="ссмсмва">{30,140,350,160,"",""}</definedName>
    <definedName name="ссмсчисисисим" localSheetId="0">{30,140,350,160,"",""}</definedName>
    <definedName name="ссмсчисисисим">{30,140,350,160,"",""}</definedName>
    <definedName name="ссс">#REF!</definedName>
    <definedName name="сссс">#REF!</definedName>
    <definedName name="ст">#REF!</definedName>
    <definedName name="ст.пр.">#REF!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0">{30,140,350,160,"",""}</definedName>
    <definedName name="сув">{30,140,350,160,"",""}</definedName>
    <definedName name="сугор" localSheetId="0">{30,140,350,160,"",""}</definedName>
    <definedName name="сугор">{30,140,350,160,"",""}</definedName>
    <definedName name="сугориш" localSheetId="0">{30,140,350,160,"",""}</definedName>
    <definedName name="сугориш">{30,140,350,160,"",""}</definedName>
    <definedName name="сўм">#REF!</definedName>
    <definedName name="Сурхондарё">#REF!</definedName>
    <definedName name="Сфакторы" localSheetId="0">TRUNC(([0]!oy-1)/3+1)</definedName>
    <definedName name="Сфакторы">TRUNC((oy-1)/3+1)</definedName>
    <definedName name="сФЙЧВФвчыфсч" localSheetId="0">{30,140,350,160,"",""}</definedName>
    <definedName name="сФЙЧВФвчыфсч">{30,140,350,160,"",""}</definedName>
    <definedName name="схоз">#REF!</definedName>
    <definedName name="сч">#REF!</definedName>
    <definedName name="считас">#N/A</definedName>
    <definedName name="счмипсмти" localSheetId="0">{30,140,350,160,"",""}</definedName>
    <definedName name="счмипсмти">{30,140,350,160,"",""}</definedName>
    <definedName name="т" localSheetId="0">TRUNC(([0]!oy-1)/3+1)</definedName>
    <definedName name="т">TRUNC(([0]!oy-1)/3+1)</definedName>
    <definedName name="таксимот" localSheetId="0">#REF!</definedName>
    <definedName name="таксимот">#REF!</definedName>
    <definedName name="талаб" localSheetId="0">TRUNC(([0]!oy-1)/3+1)</definedName>
    <definedName name="талаб">TRUNC(([0]!oy-1)/3+1)</definedName>
    <definedName name="тара" localSheetId="0">{30,140,350,160,"",""}</definedName>
    <definedName name="тара">{30,140,350,160,"",""}</definedName>
    <definedName name="тахлил" localSheetId="0">{30,140,350,160,"",""}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hidden="1">#REF!</definedName>
    <definedName name="ти" localSheetId="0">{30,140,350,160,"",""}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[37]ном!#REF!</definedName>
    <definedName name="тс" localSheetId="0">#REF!</definedName>
    <definedName name="тс">#REF!</definedName>
    <definedName name="тсф" localSheetId="0">#REF!</definedName>
    <definedName name="тсф">#REF!</definedName>
    <definedName name="тт" localSheetId="0">[11]Results!#REF!</definedName>
    <definedName name="тт">[11]Results!#REF!</definedName>
    <definedName name="ттт" localSheetId="0">#REF!</definedName>
    <definedName name="ттт">#REF!</definedName>
    <definedName name="тттт" localSheetId="5">[0]!дел/1000</definedName>
    <definedName name="тттт" localSheetId="3">[2]!дел/1000</definedName>
    <definedName name="тттт" localSheetId="0">[0]!дел/1000</definedName>
    <definedName name="тттт">[0]!дел/1000</definedName>
    <definedName name="тттттт" localSheetId="0">#REF!</definedName>
    <definedName name="тттттт">#REF!</definedName>
    <definedName name="ТУЛОВ" localSheetId="0">#REF!</definedName>
    <definedName name="ТУЛОВ">#REF!</definedName>
    <definedName name="туман" localSheetId="0">#REF!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0">{30,140,350,160,"",""}</definedName>
    <definedName name="уапукпаа">{30,140,350,160,"",""}</definedName>
    <definedName name="уас">#REF!</definedName>
    <definedName name="ув">#REF!</definedName>
    <definedName name="увап">'[38]Зан-ть(р-ны)'!$5:$5</definedName>
    <definedName name="уг" localSheetId="0">#REF!</definedName>
    <definedName name="уг">#REF!</definedName>
    <definedName name="ўдлл" localSheetId="0">{30,140,350,160,"",""}</definedName>
    <definedName name="ўдлл">{30,140,350,160,"",""}</definedName>
    <definedName name="уеке">#REF!</definedName>
    <definedName name="уекуегу">#REF!</definedName>
    <definedName name="ўзбекистон">#REF!</definedName>
    <definedName name="узи" localSheetId="0">{30,140,350,160,"",""}</definedName>
    <definedName name="узи">{30,140,350,160,"",""}</definedName>
    <definedName name="ук" localSheetId="0">{30,140,350,160,"",""}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0">{30,140,350,160,"",""}</definedName>
    <definedName name="укук">{30,140,350,160,"",""}</definedName>
    <definedName name="укц" localSheetId="0">{30,140,350,160,"",""}</definedName>
    <definedName name="укц">{30,140,350,160,"",""}</definedName>
    <definedName name="укшгн">#N/A</definedName>
    <definedName name="улм" localSheetId="0">{30,140,350,160,"",""}</definedName>
    <definedName name="улм">{30,140,350,160,"",""}</definedName>
    <definedName name="улмас" localSheetId="0">{30,140,350,160,"",""}</definedName>
    <definedName name="улмас">{30,140,350,160,"",""}</definedName>
    <definedName name="улу" localSheetId="0">{30,140,350,160,"",""}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hidden="1">#REF!</definedName>
    <definedName name="уртачирчик" hidden="1">#REF!</definedName>
    <definedName name="ўртачирчик" hidden="1">#REF!</definedName>
    <definedName name="утв1">#REF!</definedName>
    <definedName name="утв2">#REF!</definedName>
    <definedName name="утв3">#REF!</definedName>
    <definedName name="утв4">#REF!</definedName>
    <definedName name="Уткир" localSheetId="0">{30,140,350,160,"",""}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0">{30,140,350,160,"",""}</definedName>
    <definedName name="уууу">{30,140,350,160,"",""}</definedName>
    <definedName name="ууууу" localSheetId="5">[0]!дел/1000</definedName>
    <definedName name="ууууу" localSheetId="3">[2]!дел/1000</definedName>
    <definedName name="ууууу" localSheetId="0">[0]!дел/1000</definedName>
    <definedName name="ууууу">[0]!дел/1000</definedName>
    <definedName name="уууууууууууууууууу" localSheetId="0">DATE([0]!yil,[0]!oy,1)</definedName>
    <definedName name="уууууууууууууууууу">DATE(yil,oy,1)</definedName>
    <definedName name="уууууууууууууууууууу" localSheetId="0">TRUNC(([0]!oy-1)/3+1)</definedName>
    <definedName name="уууууууууууууууууууу">TRUNC((oy-1)/3+1)</definedName>
    <definedName name="ууууууууууууууууууууу" localSheetId="0">TRUNC(([0]!oy-1)/3+1)</definedName>
    <definedName name="ууууууууууууууууууууу">TRUNC((oy-1)/3+1)</definedName>
    <definedName name="ууууууууууууууууууууууу" localSheetId="0">TRUNC(([0]!oy-1)/3+1)</definedName>
    <definedName name="ууууууууууууууууууууууу">TRUNC((oy-1)/3+1)</definedName>
    <definedName name="уц" localSheetId="0">{30,140,350,160,"",""}</definedName>
    <definedName name="уц">{30,140,350,160,"",""}</definedName>
    <definedName name="ф">#REF!</definedName>
    <definedName name="ф2">#N/A</definedName>
    <definedName name="ф5" localSheetId="5" hidden="1">{#N/A,#N/A,FALSE,"인원";#N/A,#N/A,FALSE,"비용2";#N/A,#N/A,FALSE,"비용1";#N/A,#N/A,FALSE,"비용";#N/A,#N/A,FALSE,"보증2";#N/A,#N/A,FALSE,"보증1";#N/A,#N/A,FALSE,"보증";#N/A,#N/A,FALSE,"손익1";#N/A,#N/A,FALSE,"손익";#N/A,#N/A,FALSE,"부서별매출";#N/A,#N/A,FALSE,"매출"}</definedName>
    <definedName name="ф5" localSheetId="0"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0">TRUNC(([0]!oy-1)/3+1)</definedName>
    <definedName name="Факторы">TRUNC((oy-1)/3+1)</definedName>
    <definedName name="Фаргона" localSheetId="0">#REF!</definedName>
    <definedName name="Фаргона">#REF!</definedName>
    <definedName name="фв" localSheetId="0">#REF!</definedName>
    <definedName name="фв">#REF!</definedName>
    <definedName name="фвыавп" localSheetId="0">{30,140,350,160,"",""}</definedName>
    <definedName name="фвыавп">{30,140,350,160,"",""}</definedName>
    <definedName name="февраль_фактор" localSheetId="0">TRUNC(([0]!oy-1)/3+1)</definedName>
    <definedName name="февраль_фактор">TRUNC((oy-1)/3+1)</definedName>
    <definedName name="фермер" localSheetId="0">#REF!</definedName>
    <definedName name="фермер">#REF!</definedName>
    <definedName name="ФЗСЖЧШ__ХЛЭЖШО" localSheetId="0">#REF!</definedName>
    <definedName name="ФЗСЖЧШ__ХЛЭЖШО">#REF!</definedName>
    <definedName name="фйфй" localSheetId="0">#REF!</definedName>
    <definedName name="фйфй">#REF!</definedName>
    <definedName name="фйфйф">#N/A</definedName>
    <definedName name="флт" localSheetId="0">{30,140,350,160,"",""}</definedName>
    <definedName name="флт">{30,140,350,160,"",""}</definedName>
    <definedName name="фонд">#REF!</definedName>
    <definedName name="форма_таб01" localSheetId="5" hidden="1">{#N/A,#N/A,FALSE,"인원";#N/A,#N/A,FALSE,"비용2";#N/A,#N/A,FALSE,"비용1";#N/A,#N/A,FALSE,"비용";#N/A,#N/A,FALSE,"보증2";#N/A,#N/A,FALSE,"보증1";#N/A,#N/A,FALSE,"보증";#N/A,#N/A,FALSE,"손익1";#N/A,#N/A,FALSE,"손익";#N/A,#N/A,FALSE,"부서별매출";#N/A,#N/A,FALSE,"매출"}</definedName>
    <definedName name="форма_таб01" localSheetId="0"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'[39]Фориш 2003'!$O$4</definedName>
    <definedName name="фыавыфа" localSheetId="0">{30,140,350,160,"",""}</definedName>
    <definedName name="фыавыфа">{30,140,350,160,"",""}</definedName>
    <definedName name="фывчыйывчйы" localSheetId="0">{30,140,350,160,"",""}</definedName>
    <definedName name="фывчыйывчйы">{30,140,350,160,"",""}</definedName>
    <definedName name="фыфы">#REF!</definedName>
    <definedName name="фыы" localSheetId="0">TRUNC(([0]!oy-1)/3+1)</definedName>
    <definedName name="фыы">TRUNC((oy-1)/3+1)</definedName>
    <definedName name="фяфчфчфч" localSheetId="0">{30,140,350,160,"",""}</definedName>
    <definedName name="фяфчфчфч">{30,140,350,160,"",""}</definedName>
    <definedName name="хж">#REF!</definedName>
    <definedName name="хз" localSheetId="0">{30,140,350,160,"",""}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[15]База!$C$2:$C$15</definedName>
    <definedName name="Хужайли1" localSheetId="0">{30,140,350,160,"",""}</definedName>
    <definedName name="Хужайли1">{30,140,350,160,"",""}</definedName>
    <definedName name="ххх">#REF!</definedName>
    <definedName name="ц" localSheetId="0">{30,140,350,160,"",""}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Ед.">#REF!</definedName>
    <definedName name="ЦенаЗакоытого">#REF!</definedName>
    <definedName name="ЦенаЗакрытого">#REF!</definedName>
    <definedName name="ценмест">#REF!</definedName>
    <definedName name="центр">#REF!</definedName>
    <definedName name="центр1">#REF!</definedName>
    <definedName name="ценэксп">#REF!</definedName>
    <definedName name="цй" localSheetId="0">{30,140,350,160,"",""}</definedName>
    <definedName name="цй">{30,140,350,160,"",""}</definedName>
    <definedName name="цйц" localSheetId="0">{30,140,350,160,"",""}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0">{30,140,350,160,"",""}</definedName>
    <definedName name="цук2">{30,140,350,160,"",""}</definedName>
    <definedName name="цукцкцк" localSheetId="0" hidden="1">#REF!</definedName>
    <definedName name="цукцкцк" hidden="1">#REF!</definedName>
    <definedName name="цукцкцукацуауа" localSheetId="0">#REF!</definedName>
    <definedName name="цукцкцукацуауа">#REF!</definedName>
    <definedName name="цц" localSheetId="0">#REF!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0">{30,140,350,160,"",""}</definedName>
    <definedName name="чмсмичтмит">{30,140,350,160,"",""}</definedName>
    <definedName name="чрипаорп">#N/A</definedName>
    <definedName name="чс" localSheetId="0">{30,140,350,160,"",""}</definedName>
    <definedName name="чс">{30,140,350,160,"",""}</definedName>
    <definedName name="чсм" localSheetId="0">{30,140,350,160,"",""}</definedName>
    <definedName name="чсм">{30,140,350,160,"",""}</definedName>
    <definedName name="чсчсчсчсч">#REF!</definedName>
    <definedName name="чукур" localSheetId="0">{30,140,350,160,"",""}</definedName>
    <definedName name="чукур">{30,140,350,160,"",""}</definedName>
    <definedName name="ччч">#REF!</definedName>
    <definedName name="ш" localSheetId="0">{30,140,350,160,"",""}</definedName>
    <definedName name="ш">{30,140,350,160,"",""}</definedName>
    <definedName name="ш.ж._счетчик__сиз">#REF!</definedName>
    <definedName name="шарбат" localSheetId="0">{30,140,350,160,"",""}</definedName>
    <definedName name="шарбат">{30,140,350,160,"",""}</definedName>
    <definedName name="Шахар">#REF!</definedName>
    <definedName name="шгн" localSheetId="0">{30,140,350,160,"",""}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0">{30,140,350,160,"",""}</definedName>
    <definedName name="шур">{30,140,350,160,"",""}</definedName>
    <definedName name="шурик">#REF!</definedName>
    <definedName name="шухрат">#REF!</definedName>
    <definedName name="шўшш" localSheetId="0">{30,140,350,160,"",""}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0">{30,140,350,160,"",""}</definedName>
    <definedName name="ы">{30,140,350,160,"",""}</definedName>
    <definedName name="ыанено">#N/A</definedName>
    <definedName name="ыафыафывафыафыафыа" localSheetId="0" hidden="1">#REF!</definedName>
    <definedName name="ыафыафывафыафыафыа" hidden="1">#REF!</definedName>
    <definedName name="ыв" localSheetId="0">{30,140,350,160,"",""}</definedName>
    <definedName name="ыв">{30,140,350,160,"",""}</definedName>
    <definedName name="ыва" localSheetId="0">{30,140,350,160,"",""}</definedName>
    <definedName name="ыва">{30,140,350,160,"",""}</definedName>
    <definedName name="ывавы">#REF!</definedName>
    <definedName name="ывап">#REF!</definedName>
    <definedName name="ывапролд">#REF!</definedName>
    <definedName name="ывкпирц" localSheetId="5" hidden="1">{#N/A,#N/A,FALSE,"인원";#N/A,#N/A,FALSE,"비용2";#N/A,#N/A,FALSE,"비용1";#N/A,#N/A,FALSE,"비용";#N/A,#N/A,FALSE,"보증2";#N/A,#N/A,FALSE,"보증1";#N/A,#N/A,FALSE,"보증";#N/A,#N/A,FALSE,"손익1";#N/A,#N/A,FALSE,"손익";#N/A,#N/A,FALSE,"부서별매출";#N/A,#N/A,FALSE,"매출"}</definedName>
    <definedName name="ывкпирц" localSheetId="0"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0">{30,140,350,160,"",""}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0">TRUNC(([0]!oy-1)/3+1)</definedName>
    <definedName name="ыпыв">TRUNC(([0]!oy-1)/3+1)</definedName>
    <definedName name="ыр">#N/A</definedName>
    <definedName name="ЫСЫСЫС" localSheetId="0">{30,140,350,160,"",""}</definedName>
    <definedName name="ЫСЫСЫС">{30,140,350,160,"",""}</definedName>
    <definedName name="ыфв" localSheetId="0">{30,140,350,160,"",""}</definedName>
    <definedName name="ыфв">{30,140,350,160,"",""}</definedName>
    <definedName name="ыфвчыф">#REF!</definedName>
    <definedName name="ыцвуц">#REF!</definedName>
    <definedName name="ыцйц" localSheetId="0">TRUNC(([0]!oy-1)/3+1)</definedName>
    <definedName name="ыцйц">TRUNC((oy-1)/3+1)</definedName>
    <definedName name="ыыы" localSheetId="0">#REF!</definedName>
    <definedName name="ыыы">#REF!</definedName>
    <definedName name="ЫЫЫЫ" localSheetId="0">#REF!</definedName>
    <definedName name="ЫЫЫЫ">#REF!</definedName>
    <definedName name="ыыыыыыыыыы" localSheetId="0">TRUNC(([0]!oy-1)/3+1)</definedName>
    <definedName name="ыыыыыыыыыы">TRUNC((oy-1)/3+1)</definedName>
    <definedName name="ь" localSheetId="0">{30,140,350,160,"",""}</definedName>
    <definedName name="ь">{30,140,350,160,"",""}</definedName>
    <definedName name="ьд">#REF!</definedName>
    <definedName name="ьььь" localSheetId="0">TRUNC(([0]!oy-1)/3+1)</definedName>
    <definedName name="ьььь">TRUNC((oy-1)/3+1)</definedName>
    <definedName name="э" localSheetId="0">DATE([0]!yil,[0]!oy,1)</definedName>
    <definedName name="э">DATE(yil,oy,1)</definedName>
    <definedName name="экс" localSheetId="0">TRUNC(([0]!oy-1)/3+1)</definedName>
    <definedName name="экс">TRUNC((oy-1)/3+1)</definedName>
    <definedName name="экспор" localSheetId="0">TRUNC(([0]!oy-1)/3+1)</definedName>
    <definedName name="экспор">TRUNC((oy-1)/3+1)</definedName>
    <definedName name="экспорт" localSheetId="0">TRUNC(([0]!oy-1)/3+1)</definedName>
    <definedName name="экспорт">TRUNC((oy-1)/3+1)</definedName>
    <definedName name="Электр" localSheetId="0">#REF!</definedName>
    <definedName name="Электр">#REF!</definedName>
    <definedName name="Элликкала" localSheetId="0">#REF!</definedName>
    <definedName name="Элликкала">#REF!</definedName>
    <definedName name="эоцех" localSheetId="0">#REF!</definedName>
    <definedName name="эоцех">#REF!</definedName>
    <definedName name="эт">#REF!</definedName>
    <definedName name="ЭХА">#REF!</definedName>
    <definedName name="эээ">#REF!</definedName>
    <definedName name="ээээээ" hidden="1">#REF!</definedName>
    <definedName name="ю">#REF!</definedName>
    <definedName name="юб">#REF!</definedName>
    <definedName name="юбк">#REF!</definedName>
    <definedName name="юкори" hidden="1">#REF!</definedName>
    <definedName name="юмшатиш" localSheetId="0">{30,140,350,160,"",""}</definedName>
    <definedName name="юмшатиш">{30,140,350,160,"",""}</definedName>
    <definedName name="юмшок" localSheetId="0">{30,140,350,160,"",""}</definedName>
    <definedName name="юмшок">{30,140,350,160,"",""}</definedName>
    <definedName name="юод" localSheetId="0">{30,140,350,160,"",""}</definedName>
    <definedName name="юод">{30,140,350,160,"",""}</definedName>
    <definedName name="юю">#REF!</definedName>
    <definedName name="я" localSheetId="0">{30,140,350,160,"",""}</definedName>
    <definedName name="я">{30,140,350,160,"",""}</definedName>
    <definedName name="я.и.у.жадвал">#REF!</definedName>
    <definedName name="я\чсячсячсячсячсячсячсмячс" localSheetId="0" hidden="1">#REF!</definedName>
    <definedName name="я\чсячсячсячсячсячсячсмячс" hidden="1">#REF!</definedName>
    <definedName name="явчақвақвақва" localSheetId="0">#REF!</definedName>
    <definedName name="явчақвақвақва">#REF!</definedName>
    <definedName name="ягана" localSheetId="0">{30,140,350,160,"",""}</definedName>
    <definedName name="ягана">{30,140,350,160,"",""}</definedName>
    <definedName name="янв">#REF!</definedName>
    <definedName name="январапрель">#REF!</definedName>
    <definedName name="янги" localSheetId="0">{30,140,350,160,"",""}</definedName>
    <definedName name="янги">{30,140,350,160,"",""}</definedName>
    <definedName name="янгиааа" localSheetId="0">{30,140,350,160,"",""}</definedName>
    <definedName name="янгиааа">{30,140,350,160,"",""}</definedName>
    <definedName name="янгиаааа" localSheetId="0">{30,140,350,160,"",""}</definedName>
    <definedName name="янгиаааа">{30,140,350,160,"",""}</definedName>
    <definedName name="ЯНГИАРИКТУМАН">#REF!</definedName>
    <definedName name="ЯНГИБОЗОРТУМАН">#REF!</definedName>
    <definedName name="яни">#REF!</definedName>
    <definedName name="ячсячсячсячсячс" hidden="1">#REF!</definedName>
    <definedName name="ячфячфф" localSheetId="0">{30,140,350,160,"",""}</definedName>
    <definedName name="ячфячфф">{30,140,350,160,"",""}</definedName>
    <definedName name="яяя">#N/A</definedName>
    <definedName name="가격">#REF!</definedName>
    <definedName name="개발차종">#N/A</definedName>
    <definedName name="경영계획">#REF!</definedName>
    <definedName name="계획" localSheetId="0" hidden="1">#REF!</definedName>
    <definedName name="계획" hidden="1">#REF!</definedName>
    <definedName name="구조조정계획"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5" hidden="1">{#N/A,#N/A,FALSE,"BODY"}</definedName>
    <definedName name="단가" localSheetId="0" hidden="1">{#N/A,#N/A,FALSE,"BODY"}</definedName>
    <definedName name="단가" hidden="1">{#N/A,#N/A,FALSE,"BODY"}</definedName>
    <definedName name="ㅁㅇㄹㄹㄼㅂㅈㄷ1132"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5" hidden="1">{#N/A,#N/A,TRUE,"일정"}</definedName>
    <definedName name="미" localSheetId="0" hidden="1">{#N/A,#N/A,TRUE,"일정"}</definedName>
    <definedName name="미" hidden="1">{#N/A,#N/A,TRUE,"일정"}</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5" hidden="1">{#N/A,#N/A,FALSE,"BODY"}</definedName>
    <definedName name="병수3" localSheetId="0" hidden="1">{#N/A,#N/A,FALSE,"BODY"}</definedName>
    <definedName name="병수3" hidden="1">{#N/A,#N/A,FALSE,"BODY"}</definedName>
    <definedName name="부채현황">#N/A</definedName>
    <definedName name="비교2">#REF!</definedName>
    <definedName name="사업환경" localSheetId="5" hidden="1">{#N/A,#N/A,FALSE,"BODY"}</definedName>
    <definedName name="사업환경" localSheetId="0" hidden="1">{#N/A,#N/A,FALSE,"BODY"}</definedName>
    <definedName name="사업환경" hidden="1">{#N/A,#N/A,FALSE,"BODY"}</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5" hidden="1">{#N/A,#N/A,FALSE,"BODY"}</definedName>
    <definedName name="손익" localSheetId="0" hidden="1">{#N/A,#N/A,FALSE,"BODY"}</definedName>
    <definedName name="손익" hidden="1">{#N/A,#N/A,FALSE,"BODY"}</definedName>
    <definedName name="시기조정" localSheetId="5" hidden="1">{#N/A,#N/A,FALSE,"인원";#N/A,#N/A,FALSE,"비용2";#N/A,#N/A,FALSE,"비용1";#N/A,#N/A,FALSE,"비용";#N/A,#N/A,FALSE,"보증2";#N/A,#N/A,FALSE,"보증1";#N/A,#N/A,FALSE,"보증";#N/A,#N/A,FALSE,"손익1";#N/A,#N/A,FALSE,"손익";#N/A,#N/A,FALSE,"부서별매출";#N/A,#N/A,FALSE,"매출"}</definedName>
    <definedName name="시기조정" localSheetId="0"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5">[0]!_a1Z,[0]!_a2Z</definedName>
    <definedName name="시설투자" localSheetId="3">[2]!_a1Z,[2]!_a2Z</definedName>
    <definedName name="시설투자" localSheetId="0">[0]!_a1Z,[0]!_a2Z</definedName>
    <definedName name="시설투자">[0]!_a1Z,[0]!_a2Z</definedName>
    <definedName name="시설투자2" localSheetId="5">[0]!_a1Z,[0]!_a2Z</definedName>
    <definedName name="시설투자2" localSheetId="3">[2]!_a1Z,[2]!_a2Z</definedName>
    <definedName name="시설투자2" localSheetId="0">[0]!_a1Z,[0]!_a2Z</definedName>
    <definedName name="시설투자2">[0]!_a1Z,[0]!_a2Z</definedName>
    <definedName name="시장" localSheetId="0">#REF!</definedName>
    <definedName name="시장">#REF!</definedName>
    <definedName name="신용" localSheetId="5" hidden="1">{#N/A,#N/A,FALSE,"인원";#N/A,#N/A,FALSE,"비용2";#N/A,#N/A,FALSE,"비용1";#N/A,#N/A,FALSE,"비용";#N/A,#N/A,FALSE,"보증2";#N/A,#N/A,FALSE,"보증1";#N/A,#N/A,FALSE,"보증";#N/A,#N/A,FALSE,"손익1";#N/A,#N/A,FALSE,"손익";#N/A,#N/A,FALSE,"부서별매출";#N/A,#N/A,FALSE,"매출"}</definedName>
    <definedName name="신용" localSheetId="0"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5" hidden="1">{#N/A,#N/A,FALSE,"인원";#N/A,#N/A,FALSE,"비용2";#N/A,#N/A,FALSE,"비용1";#N/A,#N/A,FALSE,"비용";#N/A,#N/A,FALSE,"보증2";#N/A,#N/A,FALSE,"보증1";#N/A,#N/A,FALSE,"보증";#N/A,#N/A,FALSE,"손익1";#N/A,#N/A,FALSE,"손익";#N/A,#N/A,FALSE,"부서별매출";#N/A,#N/A,FALSE,"매출"}</definedName>
    <definedName name="신용1" localSheetId="0"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5" hidden="1">{#VALUE!,#N/A,TRUE,0}</definedName>
    <definedName name="ㅇㅇㅇㅇㅇ" localSheetId="0" hidden="1">{#VALUE!,#N/A,TRUE,0}</definedName>
    <definedName name="ㅇㅇㅇㅇㅇ" hidden="1">{#VALUE!,#N/A,TRUE,0}</definedName>
    <definedName name="ㅇㅇㅇㅇㅇㅇㅇㅇㅇㅇㅇ"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5" hidden="1">{#N/A,#N/A,FALSE,"BODY"}</definedName>
    <definedName name="원가계획" localSheetId="0" hidden="1">{#N/A,#N/A,FALSE,"BODY"}</definedName>
    <definedName name="원가계획" hidden="1">{#N/A,#N/A,FALSE,"BODY"}</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5" hidden="1">{#N/A,#N/A,FALSE,"인원";#N/A,#N/A,FALSE,"비용2";#N/A,#N/A,FALSE,"비용1";#N/A,#N/A,FALSE,"비용";#N/A,#N/A,FALSE,"보증2";#N/A,#N/A,FALSE,"보증1";#N/A,#N/A,FALSE,"보증";#N/A,#N/A,FALSE,"손익1";#N/A,#N/A,FALSE,"손익";#N/A,#N/A,FALSE,"부서별매출";#N/A,#N/A,FALSE,"매출"}</definedName>
    <definedName name="이천년비용" localSheetId="0"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5" hidden="1">{#N/A,#N/A,FALSE,"BODY"}</definedName>
    <definedName name="재료비" localSheetId="0" hidden="1">{#N/A,#N/A,FALSE,"BODY"}</definedName>
    <definedName name="재료비" hidden="1">{#N/A,#N/A,FALSE,"BODY"}</definedName>
    <definedName name="전장su">#REF!</definedName>
    <definedName name="정비대수" localSheetId="5" hidden="1">{#N/A,#N/A,FALSE,"인원";#N/A,#N/A,FALSE,"비용2";#N/A,#N/A,FALSE,"비용1";#N/A,#N/A,FALSE,"비용";#N/A,#N/A,FALSE,"보증2";#N/A,#N/A,FALSE,"보증1";#N/A,#N/A,FALSE,"보증";#N/A,#N/A,FALSE,"손익1";#N/A,#N/A,FALSE,"손익";#N/A,#N/A,FALSE,"부서별매출";#N/A,#N/A,FALSE,"매출"}</definedName>
    <definedName name="정비대수" localSheetId="0"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5" hidden="1">{#N/A,#N/A,TRUE,"일정"}</definedName>
    <definedName name="차차" localSheetId="0" hidden="1">{#N/A,#N/A,TRUE,"일정"}</definedName>
    <definedName name="차차" hidden="1">{#N/A,#N/A,TRUE,"일정"}</definedName>
    <definedName name="차체2">#REF!</definedName>
    <definedName name="초ㅐ" localSheetId="5" hidden="1">{"'Monthly 1997'!$A$3:$S$89"}</definedName>
    <definedName name="초ㅐ" localSheetId="0" hidden="1">{"'Monthly 1997'!$A$3:$S$89"}</definedName>
    <definedName name="초ㅐ" hidden="1">{"'Monthly 1997'!$A$3:$S$89"}</definedName>
    <definedName name="커버" localSheetId="5">[0]!_a1Z,[0]!_a2Z</definedName>
    <definedName name="커버" localSheetId="3">[2]!_a1Z,[2]!_a2Z</definedName>
    <definedName name="커버" localSheetId="0">[0]!_a1Z,[0]!_a2Z</definedName>
    <definedName name="커버">[0]!_a1Z,[0]!_a2Z</definedName>
    <definedName name="템플리트모듈1" localSheetId="5">[0]!BlankMacro1</definedName>
    <definedName name="템플리트모듈1" localSheetId="3">[2]!BlankMacro1</definedName>
    <definedName name="템플리트모듈1" localSheetId="0">[0]!BlankMacro1</definedName>
    <definedName name="템플리트모듈1">[0]!BlankMacro1</definedName>
    <definedName name="템플리트모듈2" localSheetId="5">[0]!BlankMacro1</definedName>
    <definedName name="템플리트모듈2" localSheetId="3">[2]!BlankMacro1</definedName>
    <definedName name="템플리트모듈2" localSheetId="0">[0]!BlankMacro1</definedName>
    <definedName name="템플리트모듈2">[0]!BlankMacro1</definedName>
    <definedName name="템플리트모듈3" localSheetId="5">[0]!BlankMacro1</definedName>
    <definedName name="템플리트모듈3" localSheetId="3">[2]!BlankMacro1</definedName>
    <definedName name="템플리트모듈3" localSheetId="0">[0]!BlankMacro1</definedName>
    <definedName name="템플리트모듈3">[0]!BlankMacro1</definedName>
    <definedName name="템플리트모듈4" localSheetId="5">[0]!BlankMacro1</definedName>
    <definedName name="템플리트모듈4" localSheetId="3">[2]!BlankMacro1</definedName>
    <definedName name="템플리트모듈4" localSheetId="0">[0]!BlankMacro1</definedName>
    <definedName name="템플리트모듈4">[0]!BlankMacro1</definedName>
    <definedName name="템플리트모듈5" localSheetId="5">[0]!BlankMacro1</definedName>
    <definedName name="템플리트모듈5" localSheetId="3">[2]!BlankMacro1</definedName>
    <definedName name="템플리트모듈5" localSheetId="0">[0]!BlankMacro1</definedName>
    <definedName name="템플리트모듈5">[0]!BlankMacro1</definedName>
    <definedName name="템플리트모듈6" localSheetId="5">[0]!BlankMacro1</definedName>
    <definedName name="템플리트모듈6" localSheetId="3">[2]!BlankMacro1</definedName>
    <definedName name="템플리트모듈6" localSheetId="0">[0]!BlankMacro1</definedName>
    <definedName name="템플리트모듈6">[0]!BlankMacro1</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6" i="37" l="1"/>
  <c r="Q46" i="38" l="1"/>
  <c r="Q45" i="38"/>
  <c r="Q44" i="38"/>
  <c r="N43" i="38"/>
  <c r="N42" i="38"/>
  <c r="N41" i="38"/>
  <c r="O13" i="38"/>
  <c r="O12" i="38"/>
  <c r="O11" i="38"/>
  <c r="W4" i="38"/>
  <c r="AL46" i="37"/>
  <c r="AL45" i="37"/>
  <c r="AL44" i="37"/>
  <c r="B1" i="9" l="1"/>
  <c r="AC30" i="38" l="1"/>
  <c r="AC28" i="38"/>
  <c r="Q30" i="37"/>
  <c r="Q28" i="37"/>
  <c r="I1" i="9" l="1"/>
  <c r="C1" i="9"/>
  <c r="B4" i="17" l="1"/>
  <c r="C6" i="17"/>
  <c r="D195" i="20"/>
  <c r="D199" i="20" s="1"/>
  <c r="I194" i="20"/>
  <c r="H194" i="20"/>
  <c r="G194" i="20"/>
  <c r="F194" i="20"/>
  <c r="I186" i="20"/>
  <c r="H186" i="20"/>
  <c r="G186" i="20"/>
  <c r="F186" i="20"/>
  <c r="E186" i="20"/>
  <c r="D186" i="20"/>
  <c r="C186" i="20"/>
  <c r="I182" i="20"/>
  <c r="H182" i="20"/>
  <c r="G182" i="20"/>
  <c r="F182" i="20"/>
  <c r="E182" i="20"/>
  <c r="D182" i="20"/>
  <c r="C182" i="20"/>
  <c r="I181" i="20"/>
  <c r="H181" i="20"/>
  <c r="G181" i="20"/>
  <c r="F181" i="20"/>
  <c r="E181" i="20"/>
  <c r="D181" i="20"/>
  <c r="C181" i="20"/>
  <c r="I180" i="20"/>
  <c r="H180" i="20"/>
  <c r="G180" i="20"/>
  <c r="F180" i="20"/>
  <c r="E180" i="20"/>
  <c r="D180" i="20"/>
  <c r="C180" i="20"/>
  <c r="I179" i="20"/>
  <c r="H179" i="20"/>
  <c r="G179" i="20"/>
  <c r="F179" i="20"/>
  <c r="E179" i="20"/>
  <c r="D179" i="20"/>
  <c r="C179" i="20"/>
  <c r="I178" i="20"/>
  <c r="H178" i="20"/>
  <c r="G178" i="20"/>
  <c r="F178" i="20"/>
  <c r="E178" i="20"/>
  <c r="D178" i="20"/>
  <c r="C178" i="20"/>
  <c r="I177" i="20"/>
  <c r="H177" i="20"/>
  <c r="G177" i="20"/>
  <c r="F177" i="20"/>
  <c r="E177" i="20"/>
  <c r="D177" i="20"/>
  <c r="C177" i="20"/>
  <c r="I176" i="20"/>
  <c r="H176" i="20"/>
  <c r="G176" i="20"/>
  <c r="F176" i="20"/>
  <c r="E176" i="20"/>
  <c r="D176" i="20"/>
  <c r="C176" i="20"/>
  <c r="I175" i="20"/>
  <c r="H175" i="20"/>
  <c r="G175" i="20"/>
  <c r="F175" i="20"/>
  <c r="E175" i="20"/>
  <c r="D175" i="20"/>
  <c r="C175" i="20"/>
  <c r="E171" i="20"/>
  <c r="E172" i="20" s="1"/>
  <c r="I170" i="20"/>
  <c r="H170" i="20"/>
  <c r="G170" i="20"/>
  <c r="F170" i="20"/>
  <c r="E170" i="20"/>
  <c r="D170" i="20"/>
  <c r="C170" i="20"/>
  <c r="I166" i="20"/>
  <c r="H166" i="20"/>
  <c r="G166" i="20"/>
  <c r="F166" i="20"/>
  <c r="E166" i="20"/>
  <c r="D166" i="20"/>
  <c r="C166" i="20"/>
  <c r="I164" i="20"/>
  <c r="H164" i="20"/>
  <c r="G164" i="20"/>
  <c r="F164" i="20"/>
  <c r="E164" i="20"/>
  <c r="D164" i="20"/>
  <c r="C164" i="20"/>
  <c r="I159" i="20"/>
  <c r="H159" i="20"/>
  <c r="G159" i="20"/>
  <c r="F159" i="20"/>
  <c r="E159" i="20"/>
  <c r="D159" i="20"/>
  <c r="C159" i="20"/>
  <c r="E157" i="20"/>
  <c r="D154" i="20"/>
  <c r="I151" i="20"/>
  <c r="H151" i="20"/>
  <c r="G151" i="20"/>
  <c r="F151" i="20"/>
  <c r="E151" i="20"/>
  <c r="D151" i="20"/>
  <c r="C151" i="20"/>
  <c r="I128" i="20"/>
  <c r="C128" i="20"/>
  <c r="I127" i="20"/>
  <c r="H127" i="20"/>
  <c r="G127" i="20"/>
  <c r="F127" i="20"/>
  <c r="E127" i="20"/>
  <c r="D127" i="20"/>
  <c r="C127" i="20"/>
  <c r="I126" i="20"/>
  <c r="H126" i="20"/>
  <c r="G126" i="20"/>
  <c r="F126" i="20"/>
  <c r="E126" i="20"/>
  <c r="D126" i="20"/>
  <c r="C126" i="20"/>
  <c r="I120" i="20"/>
  <c r="H120" i="20"/>
  <c r="H121" i="20" s="1"/>
  <c r="G120" i="20"/>
  <c r="G121" i="20" s="1"/>
  <c r="F120" i="20"/>
  <c r="E120" i="20"/>
  <c r="D120" i="20"/>
  <c r="C120" i="20"/>
  <c r="I119" i="20"/>
  <c r="H119" i="20"/>
  <c r="H171" i="20" s="1"/>
  <c r="H172" i="20" s="1"/>
  <c r="G119" i="20"/>
  <c r="G167" i="20" s="1"/>
  <c r="F119" i="20"/>
  <c r="E119" i="20"/>
  <c r="E167" i="20" s="1"/>
  <c r="D119" i="20"/>
  <c r="C119" i="20"/>
  <c r="I118" i="20"/>
  <c r="H118" i="20"/>
  <c r="G118" i="20"/>
  <c r="F118" i="20"/>
  <c r="E118" i="20"/>
  <c r="D118" i="20"/>
  <c r="C118" i="20"/>
  <c r="I117" i="20"/>
  <c r="H117" i="20"/>
  <c r="G117" i="20"/>
  <c r="F117" i="20"/>
  <c r="E117" i="20"/>
  <c r="D117" i="20"/>
  <c r="C117" i="20"/>
  <c r="I115" i="20"/>
  <c r="I116" i="20" s="1"/>
  <c r="H115" i="20"/>
  <c r="G115" i="20"/>
  <c r="I114" i="20"/>
  <c r="H114" i="20"/>
  <c r="G114" i="20"/>
  <c r="F114" i="20"/>
  <c r="E114" i="20"/>
  <c r="D114" i="20"/>
  <c r="C114" i="20"/>
  <c r="C96" i="20"/>
  <c r="O94" i="20"/>
  <c r="I154" i="20" s="1"/>
  <c r="M94" i="20"/>
  <c r="H128" i="20" s="1"/>
  <c r="K94" i="20"/>
  <c r="G128" i="20" s="1"/>
  <c r="I94" i="20"/>
  <c r="F195" i="20" s="1"/>
  <c r="G94" i="20"/>
  <c r="E154" i="20" s="1"/>
  <c r="E94" i="20"/>
  <c r="C94" i="20"/>
  <c r="C115" i="20" s="1"/>
  <c r="C116" i="20" s="1"/>
  <c r="O88" i="20"/>
  <c r="M88" i="20"/>
  <c r="K88" i="20"/>
  <c r="I88" i="20"/>
  <c r="G88" i="20"/>
  <c r="E88" i="20"/>
  <c r="C88" i="20"/>
  <c r="I81" i="20"/>
  <c r="H81" i="20"/>
  <c r="G81" i="20"/>
  <c r="F81" i="20"/>
  <c r="E81" i="20"/>
  <c r="D81" i="20"/>
  <c r="C81" i="20"/>
  <c r="I63" i="20"/>
  <c r="H63" i="20"/>
  <c r="H193" i="20" s="1"/>
  <c r="G63" i="20"/>
  <c r="G82" i="20" s="1"/>
  <c r="G132" i="20" s="1"/>
  <c r="F63" i="20"/>
  <c r="E63" i="20"/>
  <c r="D63" i="20"/>
  <c r="D157" i="20" s="1"/>
  <c r="C63" i="20"/>
  <c r="I54" i="20"/>
  <c r="H54" i="20"/>
  <c r="G54" i="20"/>
  <c r="F54" i="20"/>
  <c r="E54" i="20"/>
  <c r="D54" i="20"/>
  <c r="C54" i="20"/>
  <c r="I50" i="20"/>
  <c r="I187" i="20" s="1"/>
  <c r="H50" i="20"/>
  <c r="H187" i="20" s="1"/>
  <c r="G50" i="20"/>
  <c r="G162" i="20" s="1"/>
  <c r="F50" i="20"/>
  <c r="E50" i="20"/>
  <c r="D50" i="20"/>
  <c r="C50" i="20"/>
  <c r="C187" i="20" s="1"/>
  <c r="I18" i="20"/>
  <c r="H18" i="20"/>
  <c r="G18" i="20"/>
  <c r="F18" i="20"/>
  <c r="E18" i="20"/>
  <c r="E27" i="20" s="1"/>
  <c r="E185" i="20" s="1"/>
  <c r="D18" i="20"/>
  <c r="C18" i="20"/>
  <c r="I14" i="20"/>
  <c r="I27" i="20" s="1"/>
  <c r="H14" i="20"/>
  <c r="H27" i="20" s="1"/>
  <c r="G14" i="20"/>
  <c r="G27" i="20" s="1"/>
  <c r="F14" i="20"/>
  <c r="E14" i="20"/>
  <c r="D14" i="20"/>
  <c r="D27" i="20" s="1"/>
  <c r="C14" i="20"/>
  <c r="C27" i="20" s="1"/>
  <c r="H64" i="19"/>
  <c r="H63" i="19"/>
  <c r="H62" i="19"/>
  <c r="H61" i="19"/>
  <c r="H60" i="19"/>
  <c r="E47" i="19"/>
  <c r="E48" i="19" s="1"/>
  <c r="E49" i="19" s="1"/>
  <c r="E45" i="19"/>
  <c r="F43" i="19"/>
  <c r="F26" i="19"/>
  <c r="H12" i="19"/>
  <c r="H15" i="19"/>
  <c r="G15" i="19"/>
  <c r="E15" i="19"/>
  <c r="H14" i="19"/>
  <c r="G14" i="19"/>
  <c r="E14" i="19"/>
  <c r="E13" i="19"/>
  <c r="E12" i="19"/>
  <c r="H11" i="19"/>
  <c r="E11" i="19"/>
  <c r="I28" i="19"/>
  <c r="F8" i="19"/>
  <c r="F28" i="19" s="1"/>
  <c r="S7" i="19"/>
  <c r="D127" i="18"/>
  <c r="F126" i="18"/>
  <c r="A125" i="18"/>
  <c r="A126" i="18" s="1"/>
  <c r="F125" i="18"/>
  <c r="E122" i="18"/>
  <c r="F120" i="18"/>
  <c r="F119" i="18"/>
  <c r="A119" i="18"/>
  <c r="A120" i="18" s="1"/>
  <c r="D121" i="18"/>
  <c r="E116" i="18"/>
  <c r="F114" i="18"/>
  <c r="A114" i="18"/>
  <c r="E111" i="18"/>
  <c r="A108" i="18"/>
  <c r="A109" i="18" s="1"/>
  <c r="F107" i="18"/>
  <c r="A107" i="18"/>
  <c r="F106" i="18"/>
  <c r="E104" i="18"/>
  <c r="D102" i="18"/>
  <c r="F102" i="18" s="1"/>
  <c r="A102" i="18"/>
  <c r="F101" i="18"/>
  <c r="D100" i="18"/>
  <c r="F100" i="18" s="1"/>
  <c r="A100" i="18"/>
  <c r="A101" i="18" s="1"/>
  <c r="F99" i="18"/>
  <c r="E97" i="18"/>
  <c r="F94" i="18"/>
  <c r="A94" i="18"/>
  <c r="A95" i="18" s="1"/>
  <c r="F93" i="18"/>
  <c r="A93" i="18"/>
  <c r="D96" i="18"/>
  <c r="E90" i="18"/>
  <c r="F88" i="18"/>
  <c r="F87" i="18"/>
  <c r="F86" i="18"/>
  <c r="F85" i="18"/>
  <c r="A85" i="18"/>
  <c r="A86" i="18" s="1"/>
  <c r="A87" i="18" s="1"/>
  <c r="A88" i="18" s="1"/>
  <c r="D89" i="18"/>
  <c r="E82" i="18"/>
  <c r="F80" i="18"/>
  <c r="F79" i="18"/>
  <c r="F78" i="18"/>
  <c r="F77" i="18"/>
  <c r="F76" i="18"/>
  <c r="F75" i="18"/>
  <c r="F74" i="18"/>
  <c r="B74" i="18"/>
  <c r="F73" i="18"/>
  <c r="A73" i="18"/>
  <c r="A74" i="18" s="1"/>
  <c r="A75" i="18" s="1"/>
  <c r="A76" i="18" s="1"/>
  <c r="A77" i="18" s="1"/>
  <c r="A78" i="18" s="1"/>
  <c r="A79" i="18" s="1"/>
  <c r="A80" i="18" s="1"/>
  <c r="F72" i="18"/>
  <c r="A72" i="18"/>
  <c r="D71" i="18"/>
  <c r="B70" i="18"/>
  <c r="F68" i="18"/>
  <c r="F67" i="18"/>
  <c r="F66" i="18"/>
  <c r="F65" i="18"/>
  <c r="F64" i="18"/>
  <c r="F63" i="18"/>
  <c r="F62" i="18"/>
  <c r="E61" i="18"/>
  <c r="B61" i="18"/>
  <c r="B73" i="18" s="1"/>
  <c r="E60" i="18"/>
  <c r="B60" i="18"/>
  <c r="B72" i="18" s="1"/>
  <c r="A60" i="18"/>
  <c r="A61" i="18" s="1"/>
  <c r="A62" i="18" s="1"/>
  <c r="A63" i="18" s="1"/>
  <c r="A64" i="18" s="1"/>
  <c r="A65" i="18" s="1"/>
  <c r="A66" i="18" s="1"/>
  <c r="A67" i="18" s="1"/>
  <c r="A68" i="18" s="1"/>
  <c r="D59" i="18"/>
  <c r="D69" i="18" s="1"/>
  <c r="B58" i="18"/>
  <c r="D57" i="18"/>
  <c r="F56" i="18"/>
  <c r="F55" i="18"/>
  <c r="F54" i="18"/>
  <c r="F53" i="18"/>
  <c r="F52" i="18"/>
  <c r="A52" i="18"/>
  <c r="A53" i="18" s="1"/>
  <c r="A54" i="18" s="1"/>
  <c r="A55" i="18" s="1"/>
  <c r="A56" i="18" s="1"/>
  <c r="F51" i="18"/>
  <c r="F50" i="18"/>
  <c r="A49" i="18"/>
  <c r="A50" i="18" s="1"/>
  <c r="A51" i="18" s="1"/>
  <c r="A48" i="18"/>
  <c r="F47" i="18"/>
  <c r="B59" i="18"/>
  <c r="B71" i="18" s="1"/>
  <c r="F41" i="18"/>
  <c r="F40" i="18"/>
  <c r="B46" i="18"/>
  <c r="B38" i="18"/>
  <c r="AD31" i="18"/>
  <c r="I30" i="18"/>
  <c r="I29" i="18"/>
  <c r="I28" i="18"/>
  <c r="I27" i="18"/>
  <c r="I26" i="18"/>
  <c r="I25" i="18"/>
  <c r="I24" i="18"/>
  <c r="I23" i="18"/>
  <c r="I22" i="18"/>
  <c r="I21" i="18"/>
  <c r="I20" i="18"/>
  <c r="V20" i="18" s="1"/>
  <c r="V19" i="18"/>
  <c r="I19" i="18"/>
  <c r="I18" i="18"/>
  <c r="V18" i="18" s="1"/>
  <c r="V17" i="18"/>
  <c r="I17" i="18"/>
  <c r="I16" i="18"/>
  <c r="V16" i="18" s="1"/>
  <c r="I15" i="18"/>
  <c r="V15" i="18" s="1"/>
  <c r="I14" i="18"/>
  <c r="V14" i="18" s="1"/>
  <c r="I13" i="18"/>
  <c r="V13" i="18" s="1"/>
  <c r="D13" i="18"/>
  <c r="D14" i="18" s="1"/>
  <c r="D15" i="18" s="1"/>
  <c r="D16" i="18" s="1"/>
  <c r="D17" i="18" s="1"/>
  <c r="D18" i="18" s="1"/>
  <c r="D19" i="18" s="1"/>
  <c r="D20" i="18" s="1"/>
  <c r="D21" i="18" s="1"/>
  <c r="D22" i="18" s="1"/>
  <c r="D23" i="18" s="1"/>
  <c r="D24" i="18" s="1"/>
  <c r="D25" i="18" s="1"/>
  <c r="D26" i="18" s="1"/>
  <c r="D27" i="18" s="1"/>
  <c r="D28" i="18" s="1"/>
  <c r="D29" i="18" s="1"/>
  <c r="D30" i="18" s="1"/>
  <c r="I12" i="18"/>
  <c r="V12" i="18" s="1"/>
  <c r="A12" i="18"/>
  <c r="A13" i="18" s="1"/>
  <c r="V11" i="18"/>
  <c r="W11" i="18" s="1"/>
  <c r="S11" i="18"/>
  <c r="Q11" i="18"/>
  <c r="J11" i="18"/>
  <c r="B11" i="18"/>
  <c r="S8" i="18"/>
  <c r="Q4" i="18"/>
  <c r="C45" i="17"/>
  <c r="C20" i="17"/>
  <c r="H47" i="9"/>
  <c r="A18" i="9"/>
  <c r="A11" i="9"/>
  <c r="A10" i="9"/>
  <c r="A7" i="9"/>
  <c r="A2" i="9"/>
  <c r="I25" i="19"/>
  <c r="D25" i="19"/>
  <c r="I24" i="19"/>
  <c r="D24" i="19"/>
  <c r="D23" i="19"/>
  <c r="I22" i="19"/>
  <c r="D22" i="19"/>
  <c r="I21" i="19"/>
  <c r="D21" i="19"/>
  <c r="I20" i="19"/>
  <c r="D20" i="19"/>
  <c r="I19" i="19"/>
  <c r="D19" i="19"/>
  <c r="I18" i="19"/>
  <c r="D18" i="19"/>
  <c r="I17" i="19"/>
  <c r="I11" i="19" s="1"/>
  <c r="D17" i="19"/>
  <c r="I171" i="20" l="1"/>
  <c r="I172" i="20" s="1"/>
  <c r="H96" i="20"/>
  <c r="H116" i="20"/>
  <c r="D171" i="20"/>
  <c r="D172" i="20" s="1"/>
  <c r="I121" i="20"/>
  <c r="G130" i="20"/>
  <c r="C174" i="20"/>
  <c r="G96" i="20"/>
  <c r="G100" i="20" s="1"/>
  <c r="C171" i="20"/>
  <c r="C172" i="20" s="1"/>
  <c r="D165" i="20"/>
  <c r="E163" i="20"/>
  <c r="E168" i="20" s="1"/>
  <c r="I96" i="20"/>
  <c r="F125" i="20"/>
  <c r="I174" i="20"/>
  <c r="G195" i="20"/>
  <c r="F59" i="18"/>
  <c r="F61" i="18" s="1"/>
  <c r="F130" i="20"/>
  <c r="O96" i="20"/>
  <c r="S12" i="18"/>
  <c r="F127" i="18"/>
  <c r="F122" i="18" s="1"/>
  <c r="F27" i="20"/>
  <c r="F154" i="20"/>
  <c r="H167" i="20"/>
  <c r="I23" i="19"/>
  <c r="F23" i="19" s="1"/>
  <c r="I13" i="19"/>
  <c r="I12" i="19"/>
  <c r="F18" i="19"/>
  <c r="I15" i="19"/>
  <c r="F15" i="19" s="1"/>
  <c r="F24" i="19"/>
  <c r="H122" i="18"/>
  <c r="B31" i="18"/>
  <c r="S13" i="18"/>
  <c r="W13" i="18" s="1"/>
  <c r="A14" i="18"/>
  <c r="T11" i="18"/>
  <c r="Q5" i="18"/>
  <c r="W12" i="18"/>
  <c r="J13" i="18"/>
  <c r="J14" i="18"/>
  <c r="J12" i="18"/>
  <c r="V27" i="18"/>
  <c r="F43" i="18"/>
  <c r="F17" i="19"/>
  <c r="F22" i="19"/>
  <c r="H158" i="20"/>
  <c r="H160" i="20" s="1"/>
  <c r="H185" i="20"/>
  <c r="H51" i="20"/>
  <c r="H184" i="20"/>
  <c r="H188" i="20"/>
  <c r="F48" i="18"/>
  <c r="F57" i="18" s="1"/>
  <c r="F49" i="18"/>
  <c r="G11" i="19"/>
  <c r="F11" i="19" s="1"/>
  <c r="V22" i="18"/>
  <c r="V24" i="18"/>
  <c r="F20" i="19"/>
  <c r="H13" i="19"/>
  <c r="V21" i="18"/>
  <c r="V30" i="18"/>
  <c r="F103" i="18"/>
  <c r="F97" i="18" s="1"/>
  <c r="H139" i="20"/>
  <c r="H138" i="20"/>
  <c r="H153" i="20"/>
  <c r="H137" i="20"/>
  <c r="H136" i="20"/>
  <c r="H152" i="20" s="1"/>
  <c r="V23" i="18"/>
  <c r="V25" i="18"/>
  <c r="V28" i="18"/>
  <c r="F19" i="19"/>
  <c r="G28" i="19"/>
  <c r="C158" i="20"/>
  <c r="C160" i="20" s="1"/>
  <c r="C185" i="20"/>
  <c r="C51" i="20"/>
  <c r="C184" i="20"/>
  <c r="I158" i="20"/>
  <c r="I160" i="20" s="1"/>
  <c r="I185" i="20"/>
  <c r="I51" i="20"/>
  <c r="I184" i="20"/>
  <c r="F189" i="20"/>
  <c r="F192" i="20" s="1"/>
  <c r="F162" i="20"/>
  <c r="F187" i="20"/>
  <c r="F174" i="20"/>
  <c r="F165" i="20"/>
  <c r="C157" i="20"/>
  <c r="C163" i="20"/>
  <c r="C168" i="20" s="1"/>
  <c r="C131" i="20"/>
  <c r="C130" i="20"/>
  <c r="C82" i="20"/>
  <c r="C132" i="20" s="1"/>
  <c r="C188" i="20"/>
  <c r="C189" i="20" s="1"/>
  <c r="C192" i="20" s="1"/>
  <c r="I157" i="20"/>
  <c r="I163" i="20"/>
  <c r="I131" i="20"/>
  <c r="I130" i="20"/>
  <c r="I82" i="20"/>
  <c r="I132" i="20" s="1"/>
  <c r="I188" i="20"/>
  <c r="I189" i="20" s="1"/>
  <c r="I192" i="20" s="1"/>
  <c r="D125" i="20"/>
  <c r="F96" i="20"/>
  <c r="D194" i="20"/>
  <c r="E96" i="20"/>
  <c r="D128" i="20"/>
  <c r="C121" i="20"/>
  <c r="D158" i="20"/>
  <c r="D160" i="20" s="1"/>
  <c r="D43" i="18"/>
  <c r="E71" i="18"/>
  <c r="F71" i="18" s="1"/>
  <c r="F81" i="18" s="1"/>
  <c r="D81" i="18"/>
  <c r="F118" i="18"/>
  <c r="F121" i="18" s="1"/>
  <c r="F116" i="18" s="1"/>
  <c r="F21" i="19"/>
  <c r="G13" i="19"/>
  <c r="D185" i="20"/>
  <c r="D51" i="20"/>
  <c r="D184" i="20"/>
  <c r="G136" i="20"/>
  <c r="G152" i="20" s="1"/>
  <c r="G139" i="20"/>
  <c r="G138" i="20"/>
  <c r="G137" i="20"/>
  <c r="V26" i="18"/>
  <c r="V29" i="18"/>
  <c r="F84" i="18"/>
  <c r="F89" i="18" s="1"/>
  <c r="H82" i="18" s="1"/>
  <c r="D103" i="18"/>
  <c r="H28" i="19"/>
  <c r="G158" i="20"/>
  <c r="G160" i="20" s="1"/>
  <c r="G185" i="20"/>
  <c r="G51" i="20"/>
  <c r="G184" i="20"/>
  <c r="G150" i="20"/>
  <c r="G149" i="20"/>
  <c r="G148" i="20"/>
  <c r="F167" i="20"/>
  <c r="F171" i="20"/>
  <c r="F172" i="20" s="1"/>
  <c r="E121" i="20"/>
  <c r="G153" i="20"/>
  <c r="F92" i="18"/>
  <c r="G12" i="19"/>
  <c r="F25" i="19"/>
  <c r="F27" i="19"/>
  <c r="F158" i="20"/>
  <c r="F160" i="20" s="1"/>
  <c r="F185" i="20"/>
  <c r="F51" i="20"/>
  <c r="E184" i="20"/>
  <c r="E158" i="20"/>
  <c r="E160" i="20" s="1"/>
  <c r="C165" i="20"/>
  <c r="I165" i="20"/>
  <c r="D115" i="20"/>
  <c r="D145" i="20"/>
  <c r="D144" i="20"/>
  <c r="D143" i="20"/>
  <c r="C193" i="20"/>
  <c r="E51" i="20"/>
  <c r="G188" i="20"/>
  <c r="G189" i="20" s="1"/>
  <c r="G192" i="20" s="1"/>
  <c r="D142" i="20"/>
  <c r="F163" i="20"/>
  <c r="F168" i="20" s="1"/>
  <c r="I193" i="20"/>
  <c r="H82" i="20"/>
  <c r="H132" i="20" s="1"/>
  <c r="D96" i="20"/>
  <c r="D100" i="20" s="1"/>
  <c r="J96" i="20"/>
  <c r="J100" i="20" s="1"/>
  <c r="P96" i="20"/>
  <c r="P100" i="20" s="1"/>
  <c r="E115" i="20"/>
  <c r="G116" i="20" s="1"/>
  <c r="G125" i="20"/>
  <c r="H130" i="20"/>
  <c r="G131" i="20"/>
  <c r="G154" i="20"/>
  <c r="F157" i="20"/>
  <c r="H162" i="20"/>
  <c r="G163" i="20"/>
  <c r="G168" i="20" s="1"/>
  <c r="E165" i="20"/>
  <c r="C167" i="20"/>
  <c r="I167" i="20"/>
  <c r="D174" i="20"/>
  <c r="D187" i="20"/>
  <c r="H189" i="20"/>
  <c r="H192" i="20" s="1"/>
  <c r="D193" i="20"/>
  <c r="C194" i="20"/>
  <c r="H195" i="20"/>
  <c r="K96" i="20"/>
  <c r="F115" i="20"/>
  <c r="F121" i="20" s="1"/>
  <c r="H125" i="20"/>
  <c r="E128" i="20"/>
  <c r="H131" i="20"/>
  <c r="H154" i="20"/>
  <c r="G157" i="20"/>
  <c r="C162" i="20"/>
  <c r="I162" i="20"/>
  <c r="H163" i="20"/>
  <c r="D167" i="20"/>
  <c r="G171" i="20"/>
  <c r="G172" i="20" s="1"/>
  <c r="E174" i="20"/>
  <c r="E187" i="20"/>
  <c r="D188" i="20"/>
  <c r="D189" i="20" s="1"/>
  <c r="D192" i="20" s="1"/>
  <c r="E193" i="20"/>
  <c r="C195" i="20"/>
  <c r="C199" i="20" s="1"/>
  <c r="I195" i="20"/>
  <c r="D82" i="20"/>
  <c r="D132" i="20" s="1"/>
  <c r="L96" i="20"/>
  <c r="C125" i="20"/>
  <c r="I125" i="20"/>
  <c r="F128" i="20"/>
  <c r="D130" i="20"/>
  <c r="C154" i="20"/>
  <c r="H157" i="20"/>
  <c r="D162" i="20"/>
  <c r="G165" i="20"/>
  <c r="E188" i="20"/>
  <c r="E189" i="20" s="1"/>
  <c r="E192" i="20" s="1"/>
  <c r="F193" i="20"/>
  <c r="E194" i="20"/>
  <c r="E82" i="20"/>
  <c r="E132" i="20" s="1"/>
  <c r="M96" i="20"/>
  <c r="E130" i="20"/>
  <c r="D131" i="20"/>
  <c r="E162" i="20"/>
  <c r="D163" i="20"/>
  <c r="D168" i="20" s="1"/>
  <c r="H165" i="20"/>
  <c r="G174" i="20"/>
  <c r="G187" i="20"/>
  <c r="F188" i="20"/>
  <c r="G193" i="20"/>
  <c r="E195" i="20"/>
  <c r="E199" i="20" s="1"/>
  <c r="F82" i="20"/>
  <c r="F132" i="20" s="1"/>
  <c r="N96" i="20"/>
  <c r="N100" i="20" s="1"/>
  <c r="E125" i="20"/>
  <c r="E131" i="20"/>
  <c r="H174" i="20"/>
  <c r="K100" i="20" l="1"/>
  <c r="C100" i="20"/>
  <c r="C107" i="20" s="1"/>
  <c r="F131" i="20"/>
  <c r="F184" i="20"/>
  <c r="G191" i="20"/>
  <c r="G107" i="20"/>
  <c r="G109" i="20" s="1"/>
  <c r="F60" i="18"/>
  <c r="F69" i="18" s="1"/>
  <c r="E100" i="20"/>
  <c r="H100" i="20"/>
  <c r="H107" i="20" s="1"/>
  <c r="H168" i="20"/>
  <c r="F191" i="20"/>
  <c r="K24" i="9"/>
  <c r="F12" i="19"/>
  <c r="I14" i="19"/>
  <c r="F14" i="19" s="1"/>
  <c r="H44" i="18"/>
  <c r="D190" i="20"/>
  <c r="D84" i="20"/>
  <c r="F84" i="20"/>
  <c r="F190" i="20"/>
  <c r="D191" i="20"/>
  <c r="C150" i="20"/>
  <c r="C149" i="20"/>
  <c r="C148" i="20"/>
  <c r="A15" i="18"/>
  <c r="S14" i="18"/>
  <c r="W14" i="18" s="1"/>
  <c r="M100" i="20"/>
  <c r="M107" i="20" s="1"/>
  <c r="I139" i="20"/>
  <c r="I138" i="20"/>
  <c r="I153" i="20"/>
  <c r="I137" i="20"/>
  <c r="I136" i="20"/>
  <c r="I152" i="20" s="1"/>
  <c r="D107" i="20"/>
  <c r="D109" i="20" s="1"/>
  <c r="I100" i="20"/>
  <c r="I107" i="20" s="1"/>
  <c r="F95" i="18"/>
  <c r="F96" i="18"/>
  <c r="H90" i="18" s="1"/>
  <c r="F13" i="19"/>
  <c r="I190" i="20"/>
  <c r="I84" i="20"/>
  <c r="D113" i="18"/>
  <c r="F113" i="18" s="1"/>
  <c r="F115" i="18" s="1"/>
  <c r="H111" i="18" s="1"/>
  <c r="D109" i="18"/>
  <c r="F109" i="18" s="1"/>
  <c r="D108" i="18"/>
  <c r="C11" i="18"/>
  <c r="C109" i="20"/>
  <c r="N107" i="20"/>
  <c r="N109" i="20" s="1"/>
  <c r="J107" i="20"/>
  <c r="J109" i="20" s="1"/>
  <c r="D116" i="20"/>
  <c r="D121" i="20"/>
  <c r="C191" i="20"/>
  <c r="E148" i="20"/>
  <c r="E150" i="20"/>
  <c r="E149" i="20"/>
  <c r="C139" i="20"/>
  <c r="C138" i="20"/>
  <c r="C153" i="20"/>
  <c r="C137" i="20"/>
  <c r="C136" i="20"/>
  <c r="C152" i="20" s="1"/>
  <c r="H150" i="20"/>
  <c r="H149" i="20"/>
  <c r="H148" i="20"/>
  <c r="O100" i="20"/>
  <c r="O107" i="20" s="1"/>
  <c r="I191" i="20"/>
  <c r="H97" i="18"/>
  <c r="H190" i="20"/>
  <c r="H84" i="20"/>
  <c r="D149" i="20"/>
  <c r="D148" i="20"/>
  <c r="D150" i="20"/>
  <c r="G190" i="20"/>
  <c r="G84" i="20"/>
  <c r="E138" i="20"/>
  <c r="E153" i="20"/>
  <c r="E137" i="20"/>
  <c r="E136" i="20"/>
  <c r="E152" i="20" s="1"/>
  <c r="E139" i="20"/>
  <c r="C142" i="20"/>
  <c r="C145" i="20"/>
  <c r="C144" i="20"/>
  <c r="C143" i="20"/>
  <c r="H116" i="18"/>
  <c r="F100" i="20"/>
  <c r="F107" i="20" s="1"/>
  <c r="I168" i="20"/>
  <c r="F153" i="20"/>
  <c r="F137" i="20"/>
  <c r="F136" i="20"/>
  <c r="F152" i="20" s="1"/>
  <c r="F139" i="20"/>
  <c r="F138" i="20"/>
  <c r="E191" i="20"/>
  <c r="H191" i="20"/>
  <c r="T31" i="18"/>
  <c r="L24" i="9"/>
  <c r="F145" i="20"/>
  <c r="F144" i="20"/>
  <c r="F143" i="20"/>
  <c r="F142" i="20"/>
  <c r="C190" i="20"/>
  <c r="C84" i="20"/>
  <c r="I150" i="20"/>
  <c r="I149" i="20"/>
  <c r="I148" i="20"/>
  <c r="F150" i="20"/>
  <c r="F149" i="20"/>
  <c r="F148" i="20"/>
  <c r="F116" i="20"/>
  <c r="I142" i="20"/>
  <c r="I145" i="20"/>
  <c r="I144" i="20"/>
  <c r="I143" i="20"/>
  <c r="H143" i="20"/>
  <c r="H142" i="20"/>
  <c r="H145" i="20"/>
  <c r="H144" i="20"/>
  <c r="G144" i="20"/>
  <c r="G143" i="20"/>
  <c r="G142" i="20"/>
  <c r="G145" i="20"/>
  <c r="L100" i="20"/>
  <c r="L107" i="20" s="1"/>
  <c r="D139" i="20"/>
  <c r="D138" i="20"/>
  <c r="D153" i="20"/>
  <c r="D137" i="20"/>
  <c r="D136" i="20"/>
  <c r="D152" i="20" s="1"/>
  <c r="E145" i="20"/>
  <c r="E144" i="20"/>
  <c r="E143" i="20"/>
  <c r="E142" i="20"/>
  <c r="E116" i="20"/>
  <c r="E190" i="20"/>
  <c r="E84" i="20"/>
  <c r="J24" i="9"/>
  <c r="H109" i="20" l="1"/>
  <c r="E28" i="18"/>
  <c r="E25" i="18"/>
  <c r="E30" i="18"/>
  <c r="E27" i="18"/>
  <c r="E24" i="18"/>
  <c r="E22" i="18"/>
  <c r="E20" i="18"/>
  <c r="E17" i="18"/>
  <c r="E14" i="18"/>
  <c r="E29" i="18"/>
  <c r="E23" i="18"/>
  <c r="E19" i="18"/>
  <c r="E16" i="18"/>
  <c r="E13" i="18"/>
  <c r="E26" i="18"/>
  <c r="E21" i="18"/>
  <c r="E18" i="18"/>
  <c r="E15" i="18"/>
  <c r="E12" i="18"/>
  <c r="E11" i="18"/>
  <c r="O109" i="20"/>
  <c r="F108" i="18"/>
  <c r="F110" i="18" s="1"/>
  <c r="D110" i="18"/>
  <c r="S15" i="18"/>
  <c r="W15" i="18" s="1"/>
  <c r="A16" i="18"/>
  <c r="J15" i="18"/>
  <c r="P107" i="20"/>
  <c r="P109" i="20" s="1"/>
  <c r="E134" i="20"/>
  <c r="G112" i="20"/>
  <c r="E122" i="20" s="1"/>
  <c r="I109" i="20"/>
  <c r="C112" i="20"/>
  <c r="C122" i="20" s="1"/>
  <c r="C134" i="20"/>
  <c r="D112" i="20"/>
  <c r="M109" i="20"/>
  <c r="H112" i="20"/>
  <c r="K107" i="20"/>
  <c r="K109" i="20" s="1"/>
  <c r="E107" i="20"/>
  <c r="E109" i="20" s="1"/>
  <c r="B27" i="9" l="1"/>
  <c r="H9" i="19"/>
  <c r="F134" i="20"/>
  <c r="I112" i="20"/>
  <c r="F122" i="20" s="1"/>
  <c r="H104" i="18"/>
  <c r="F128" i="18"/>
  <c r="H128" i="18" s="1"/>
  <c r="G10" i="18" s="1"/>
  <c r="G21" i="18" s="1"/>
  <c r="F21" i="18"/>
  <c r="G29" i="18"/>
  <c r="F29" i="18"/>
  <c r="G27" i="18"/>
  <c r="F27" i="18"/>
  <c r="F109" i="20"/>
  <c r="F112" i="20" s="1"/>
  <c r="J112" i="20"/>
  <c r="G26" i="18"/>
  <c r="F26" i="18"/>
  <c r="F14" i="18"/>
  <c r="G30" i="18"/>
  <c r="F30" i="18"/>
  <c r="C124" i="20"/>
  <c r="C123" i="20"/>
  <c r="F23" i="18"/>
  <c r="G23" i="18"/>
  <c r="I24" i="9"/>
  <c r="H134" i="20"/>
  <c r="M112" i="20"/>
  <c r="H122" i="20" s="1"/>
  <c r="E124" i="20"/>
  <c r="E123" i="20"/>
  <c r="S16" i="18"/>
  <c r="W16" i="18" s="1"/>
  <c r="A17" i="18"/>
  <c r="J16" i="18"/>
  <c r="E31" i="18"/>
  <c r="F11" i="18"/>
  <c r="G11" i="18"/>
  <c r="G13" i="18"/>
  <c r="F13" i="18"/>
  <c r="F17" i="18"/>
  <c r="F25" i="18"/>
  <c r="G25" i="18"/>
  <c r="N112" i="20"/>
  <c r="I122" i="20" s="1"/>
  <c r="H24" i="9"/>
  <c r="F18" i="18"/>
  <c r="F24" i="18"/>
  <c r="G24" i="18"/>
  <c r="K77" i="18"/>
  <c r="P112" i="20"/>
  <c r="F12" i="18"/>
  <c r="G16" i="18"/>
  <c r="F16" i="18"/>
  <c r="G20" i="18"/>
  <c r="F20" i="18"/>
  <c r="F28" i="18"/>
  <c r="G28" i="18"/>
  <c r="E112" i="20"/>
  <c r="D122" i="20" s="1"/>
  <c r="G134" i="20"/>
  <c r="K112" i="20"/>
  <c r="G122" i="20" s="1"/>
  <c r="L109" i="20"/>
  <c r="L112" i="20" s="1"/>
  <c r="O112" i="20"/>
  <c r="I134" i="20"/>
  <c r="G15" i="18"/>
  <c r="F15" i="18"/>
  <c r="G19" i="18"/>
  <c r="F19" i="18"/>
  <c r="F22" i="18"/>
  <c r="G22" i="18"/>
  <c r="D134" i="20" l="1"/>
  <c r="G12" i="18"/>
  <c r="G18" i="18"/>
  <c r="H18" i="18" s="1"/>
  <c r="G17" i="18"/>
  <c r="U17" i="18" s="1"/>
  <c r="X17" i="18" s="1"/>
  <c r="G14" i="18"/>
  <c r="F31" i="18"/>
  <c r="U16" i="18"/>
  <c r="X16" i="18" s="1"/>
  <c r="H16" i="18"/>
  <c r="K16" i="18" s="1"/>
  <c r="U18" i="18"/>
  <c r="H28" i="18"/>
  <c r="U28" i="18"/>
  <c r="H30" i="18"/>
  <c r="U30" i="18"/>
  <c r="H29" i="18"/>
  <c r="U29" i="18"/>
  <c r="U22" i="18"/>
  <c r="H22" i="18"/>
  <c r="G31" i="18"/>
  <c r="H11" i="18"/>
  <c r="U11" i="18"/>
  <c r="H12" i="18"/>
  <c r="K12" i="18" s="1"/>
  <c r="U12" i="18"/>
  <c r="X12" i="18" s="1"/>
  <c r="H26" i="18"/>
  <c r="U26" i="18"/>
  <c r="H27" i="18"/>
  <c r="U27" i="18"/>
  <c r="U19" i="18"/>
  <c r="H19" i="18"/>
  <c r="H24" i="18"/>
  <c r="U24" i="18"/>
  <c r="I124" i="20"/>
  <c r="I123" i="20"/>
  <c r="A18" i="18"/>
  <c r="S17" i="18"/>
  <c r="W17" i="18" s="1"/>
  <c r="J17" i="18"/>
  <c r="H124" i="20"/>
  <c r="H123" i="20"/>
  <c r="U14" i="18"/>
  <c r="X14" i="18" s="1"/>
  <c r="H14" i="18"/>
  <c r="K14" i="18" s="1"/>
  <c r="H21" i="18"/>
  <c r="U21" i="18"/>
  <c r="F124" i="20"/>
  <c r="F123" i="20"/>
  <c r="H25" i="18"/>
  <c r="U25" i="18"/>
  <c r="H15" i="18"/>
  <c r="K15" i="18" s="1"/>
  <c r="U15" i="18"/>
  <c r="X15" i="18" s="1"/>
  <c r="G123" i="20"/>
  <c r="G124" i="20"/>
  <c r="D124" i="20"/>
  <c r="D123" i="20"/>
  <c r="H20" i="18"/>
  <c r="U20" i="18"/>
  <c r="U13" i="18"/>
  <c r="X13" i="18" s="1"/>
  <c r="H13" i="18"/>
  <c r="K13" i="18" s="1"/>
  <c r="H23" i="18"/>
  <c r="U23" i="18"/>
  <c r="H17" i="18" l="1"/>
  <c r="G24" i="9"/>
  <c r="C24" i="9"/>
  <c r="F24" i="9"/>
  <c r="D24" i="9"/>
  <c r="S18" i="18"/>
  <c r="W18" i="18" s="1"/>
  <c r="A19" i="18"/>
  <c r="J18" i="18"/>
  <c r="R28" i="18"/>
  <c r="R25" i="18"/>
  <c r="R30" i="18"/>
  <c r="R27" i="18"/>
  <c r="R24" i="18"/>
  <c r="R21" i="18"/>
  <c r="R20" i="18"/>
  <c r="R17" i="18"/>
  <c r="R14" i="18"/>
  <c r="K11" i="18"/>
  <c r="R26" i="18"/>
  <c r="R23" i="18"/>
  <c r="R19" i="18"/>
  <c r="R16" i="18"/>
  <c r="R13" i="18"/>
  <c r="R11" i="18"/>
  <c r="H31" i="18"/>
  <c r="N20" i="18"/>
  <c r="N31" i="18" s="1"/>
  <c r="N17" i="18"/>
  <c r="N14" i="18"/>
  <c r="R29" i="18"/>
  <c r="R22" i="18"/>
  <c r="R18" i="18"/>
  <c r="R15" i="18"/>
  <c r="R12" i="18"/>
  <c r="N19" i="18"/>
  <c r="N16" i="18"/>
  <c r="N13" i="18"/>
  <c r="N24" i="18"/>
  <c r="N12" i="18"/>
  <c r="N30" i="18"/>
  <c r="N27" i="18"/>
  <c r="N15" i="18"/>
  <c r="N26" i="18"/>
  <c r="N28" i="18"/>
  <c r="N18" i="18"/>
  <c r="N22" i="18"/>
  <c r="N21" i="18"/>
  <c r="N25" i="18"/>
  <c r="N29" i="18"/>
  <c r="N23" i="18"/>
  <c r="Y28" i="18"/>
  <c r="AB28" i="18" s="1"/>
  <c r="AD28" i="18" s="1"/>
  <c r="Y25" i="18"/>
  <c r="Y30" i="18"/>
  <c r="Y27" i="18"/>
  <c r="AB27" i="18" s="1"/>
  <c r="AD27" i="18" s="1"/>
  <c r="Y24" i="18"/>
  <c r="Y26" i="18"/>
  <c r="Y23" i="18"/>
  <c r="AB23" i="18" s="1"/>
  <c r="AD23" i="18" s="1"/>
  <c r="Y22" i="18"/>
  <c r="Y20" i="18"/>
  <c r="Y17" i="18"/>
  <c r="AB17" i="18" s="1"/>
  <c r="AD17" i="18" s="1"/>
  <c r="Y14" i="18"/>
  <c r="Y21" i="18"/>
  <c r="Y19" i="18"/>
  <c r="AB19" i="18" s="1"/>
  <c r="AD19" i="18" s="1"/>
  <c r="Y16" i="18"/>
  <c r="Y13" i="18"/>
  <c r="Y29" i="18"/>
  <c r="AB29" i="18" s="1"/>
  <c r="AD29" i="18" s="1"/>
  <c r="Y18" i="18"/>
  <c r="Y15" i="18"/>
  <c r="Y12" i="18"/>
  <c r="AB12" i="18" s="1"/>
  <c r="AD12" i="18" s="1"/>
  <c r="AC11" i="18" s="1"/>
  <c r="AC31" i="18" s="1"/>
  <c r="L28" i="18"/>
  <c r="O28" i="18" s="1"/>
  <c r="Q28" i="18" s="1"/>
  <c r="L25" i="18"/>
  <c r="O25" i="18" s="1"/>
  <c r="Q25" i="18" s="1"/>
  <c r="L22" i="18"/>
  <c r="O22" i="18" s="1"/>
  <c r="Q22" i="18" s="1"/>
  <c r="L30" i="18"/>
  <c r="O30" i="18" s="1"/>
  <c r="Q30" i="18" s="1"/>
  <c r="L27" i="18"/>
  <c r="O27" i="18" s="1"/>
  <c r="Q27" i="18" s="1"/>
  <c r="L24" i="18"/>
  <c r="O24" i="18" s="1"/>
  <c r="Q24" i="18" s="1"/>
  <c r="L29" i="18"/>
  <c r="O29" i="18" s="1"/>
  <c r="Q29" i="18" s="1"/>
  <c r="L26" i="18"/>
  <c r="O26" i="18" s="1"/>
  <c r="Q26" i="18" s="1"/>
  <c r="L23" i="18"/>
  <c r="O23" i="18" s="1"/>
  <c r="Q23" i="18" s="1"/>
  <c r="L19" i="18"/>
  <c r="O19" i="18" s="1"/>
  <c r="Q19" i="18" s="1"/>
  <c r="L16" i="18"/>
  <c r="O16" i="18" s="1"/>
  <c r="Q16" i="18" s="1"/>
  <c r="L13" i="18"/>
  <c r="O13" i="18" s="1"/>
  <c r="Q13" i="18" s="1"/>
  <c r="L18" i="18"/>
  <c r="O18" i="18" s="1"/>
  <c r="Q18" i="18" s="1"/>
  <c r="L15" i="18"/>
  <c r="O15" i="18" s="1"/>
  <c r="Q15" i="18" s="1"/>
  <c r="L21" i="18"/>
  <c r="O21" i="18" s="1"/>
  <c r="Q21" i="18" s="1"/>
  <c r="L20" i="18"/>
  <c r="O20" i="18" s="1"/>
  <c r="L17" i="18"/>
  <c r="O17" i="18" s="1"/>
  <c r="Q17" i="18" s="1"/>
  <c r="L14" i="18"/>
  <c r="O14" i="18" s="1"/>
  <c r="Q14" i="18" s="1"/>
  <c r="L12" i="18"/>
  <c r="O12" i="18" s="1"/>
  <c r="Q12" i="18" s="1"/>
  <c r="P11" i="18" s="1"/>
  <c r="P31" i="18" s="1"/>
  <c r="K17" i="18"/>
  <c r="X18" i="18"/>
  <c r="AE31" i="18"/>
  <c r="X11" i="18"/>
  <c r="AE19" i="18"/>
  <c r="AE16" i="18"/>
  <c r="AE13" i="18"/>
  <c r="AE17" i="18"/>
  <c r="AE20" i="18"/>
  <c r="AA16" i="18"/>
  <c r="AE15" i="18"/>
  <c r="AA19" i="18"/>
  <c r="AE14" i="18"/>
  <c r="AE11" i="18"/>
  <c r="AA14" i="18"/>
  <c r="AA15" i="18"/>
  <c r="AA12" i="18"/>
  <c r="AA13" i="18"/>
  <c r="AA20" i="18"/>
  <c r="AE12" i="18"/>
  <c r="AA18" i="18"/>
  <c r="AA17" i="18"/>
  <c r="AE18" i="18"/>
  <c r="AE25" i="18"/>
  <c r="AA26" i="18"/>
  <c r="AE30" i="18"/>
  <c r="AA21" i="18"/>
  <c r="AA23" i="18"/>
  <c r="AE29" i="18"/>
  <c r="AE22" i="18"/>
  <c r="AE28" i="18"/>
  <c r="AA30" i="18"/>
  <c r="AA25" i="18"/>
  <c r="AA24" i="18"/>
  <c r="AE21" i="18"/>
  <c r="AE24" i="18"/>
  <c r="AA29" i="18"/>
  <c r="AA22" i="18"/>
  <c r="AA28" i="18"/>
  <c r="AE26" i="18"/>
  <c r="AE23" i="18"/>
  <c r="AA27" i="18"/>
  <c r="AE27" i="18"/>
  <c r="K18" i="18"/>
  <c r="AB16" i="18" l="1"/>
  <c r="AD16" i="18" s="1"/>
  <c r="AB22" i="18"/>
  <c r="AD22" i="18" s="1"/>
  <c r="AB25" i="18"/>
  <c r="AD25" i="18" s="1"/>
  <c r="AB18" i="18"/>
  <c r="AD18" i="18" s="1"/>
  <c r="AB14" i="18"/>
  <c r="AD14" i="18" s="1"/>
  <c r="AB24" i="18"/>
  <c r="AD24" i="18" s="1"/>
  <c r="E24" i="9"/>
  <c r="M24" i="9" s="1"/>
  <c r="B17" i="9"/>
  <c r="K17" i="9"/>
  <c r="L17" i="9"/>
  <c r="D17" i="9"/>
  <c r="J17" i="9"/>
  <c r="S19" i="18"/>
  <c r="W19" i="18" s="1"/>
  <c r="X19" i="18" s="1"/>
  <c r="A20" i="18"/>
  <c r="J19" i="18"/>
  <c r="K19" i="18" s="1"/>
  <c r="AB13" i="18"/>
  <c r="AD13" i="18" s="1"/>
  <c r="AB20" i="18"/>
  <c r="AD20" i="18" s="1"/>
  <c r="AB30" i="18"/>
  <c r="AD30" i="18" s="1"/>
  <c r="O31" i="18"/>
  <c r="Q20" i="18"/>
  <c r="M30" i="18"/>
  <c r="M27" i="18"/>
  <c r="M29" i="18"/>
  <c r="M26" i="18"/>
  <c r="K31" i="18"/>
  <c r="M19" i="18"/>
  <c r="M16" i="18"/>
  <c r="M13" i="18"/>
  <c r="M25" i="18"/>
  <c r="M24" i="18"/>
  <c r="M22" i="18"/>
  <c r="M18" i="18"/>
  <c r="M15" i="18"/>
  <c r="M12" i="18"/>
  <c r="M21" i="18"/>
  <c r="M28" i="18"/>
  <c r="M23" i="18"/>
  <c r="M20" i="18"/>
  <c r="M31" i="18" s="1"/>
  <c r="M17" i="18"/>
  <c r="M14" i="18"/>
  <c r="M11" i="18"/>
  <c r="Z28" i="18"/>
  <c r="Z25" i="18"/>
  <c r="Z22" i="18"/>
  <c r="Z30" i="18"/>
  <c r="Z27" i="18"/>
  <c r="Z24" i="18"/>
  <c r="Z29" i="18"/>
  <c r="Z26" i="18"/>
  <c r="Z23" i="18"/>
  <c r="Z21" i="18"/>
  <c r="Z19" i="18"/>
  <c r="Z16" i="18"/>
  <c r="Z13" i="18"/>
  <c r="Z18" i="18"/>
  <c r="Z15" i="18"/>
  <c r="Z20" i="18"/>
  <c r="Z17" i="18"/>
  <c r="Z14" i="18"/>
  <c r="Z12" i="18"/>
  <c r="AB15" i="18"/>
  <c r="AD15" i="18" s="1"/>
  <c r="AB21" i="18"/>
  <c r="AD21" i="18" s="1"/>
  <c r="AB26" i="18"/>
  <c r="AD26" i="18" s="1"/>
  <c r="G17" i="9" l="1"/>
  <c r="C17" i="9"/>
  <c r="I17" i="9"/>
  <c r="E17" i="9"/>
  <c r="F17" i="9"/>
  <c r="H17" i="9"/>
  <c r="A21" i="18"/>
  <c r="S20" i="18"/>
  <c r="W20" i="18" s="1"/>
  <c r="X20" i="18" s="1"/>
  <c r="J20" i="18"/>
  <c r="K20" i="18" s="1"/>
  <c r="M17" i="9" l="1"/>
  <c r="J21" i="18"/>
  <c r="K21" i="18" s="1"/>
  <c r="A22" i="18"/>
  <c r="S21" i="18"/>
  <c r="W21" i="18" s="1"/>
  <c r="X21" i="18" s="1"/>
  <c r="S22" i="18" l="1"/>
  <c r="W22" i="18" s="1"/>
  <c r="X22" i="18" s="1"/>
  <c r="A23" i="18"/>
  <c r="J22" i="18"/>
  <c r="K22" i="18" s="1"/>
  <c r="S23" i="18" l="1"/>
  <c r="W23" i="18" s="1"/>
  <c r="X23" i="18" s="1"/>
  <c r="A24" i="18"/>
  <c r="J23" i="18"/>
  <c r="K23" i="18" s="1"/>
  <c r="S24" i="18" l="1"/>
  <c r="W24" i="18" s="1"/>
  <c r="X24" i="18" s="1"/>
  <c r="A25" i="18"/>
  <c r="J24" i="18"/>
  <c r="K24" i="18" s="1"/>
  <c r="S25" i="18" l="1"/>
  <c r="W25" i="18" s="1"/>
  <c r="X25" i="18" s="1"/>
  <c r="A26" i="18"/>
  <c r="J25" i="18"/>
  <c r="K25" i="18" s="1"/>
  <c r="S26" i="18" l="1"/>
  <c r="W26" i="18" s="1"/>
  <c r="X26" i="18" s="1"/>
  <c r="A27" i="18"/>
  <c r="J26" i="18"/>
  <c r="K26" i="18" s="1"/>
  <c r="S27" i="18" l="1"/>
  <c r="W27" i="18" s="1"/>
  <c r="X27" i="18" s="1"/>
  <c r="A28" i="18"/>
  <c r="J27" i="18"/>
  <c r="K27" i="18" s="1"/>
  <c r="S28" i="18" l="1"/>
  <c r="W28" i="18" s="1"/>
  <c r="X28" i="18" s="1"/>
  <c r="A29" i="18"/>
  <c r="J28" i="18"/>
  <c r="K28" i="18" s="1"/>
  <c r="S29" i="18" l="1"/>
  <c r="W29" i="18" s="1"/>
  <c r="X29" i="18" s="1"/>
  <c r="A30" i="18"/>
  <c r="J29" i="18"/>
  <c r="K29" i="18" s="1"/>
  <c r="S30" i="18" l="1"/>
  <c r="W30" i="18" s="1"/>
  <c r="X30" i="18" s="1"/>
  <c r="J30" i="18"/>
  <c r="K30" i="18" s="1"/>
  <c r="F39" i="19" l="1"/>
  <c r="F40" i="19"/>
  <c r="I39" i="19"/>
  <c r="I40" i="19"/>
  <c r="J39" i="19"/>
  <c r="J40" i="19"/>
  <c r="G39" i="19"/>
  <c r="G40" i="19"/>
  <c r="H39" i="19"/>
  <c r="H40" i="19"/>
  <c r="F53" i="19" l="1"/>
  <c r="D11" i="9" l="1"/>
  <c r="L11" i="9"/>
  <c r="G11" i="9"/>
  <c r="K11" i="9"/>
  <c r="E11" i="9"/>
  <c r="C11" i="9"/>
  <c r="J11" i="9"/>
  <c r="I11" i="9"/>
  <c r="F11" i="9"/>
  <c r="H11" i="9"/>
  <c r="M11" i="9" l="1"/>
  <c r="G10" i="9" l="1"/>
  <c r="E10" i="9"/>
  <c r="K10" i="9"/>
  <c r="I10" i="9"/>
  <c r="D10" i="9"/>
  <c r="I3" i="9"/>
  <c r="L10" i="9"/>
  <c r="J10" i="9"/>
  <c r="C10" i="9"/>
  <c r="H10" i="9"/>
  <c r="D3" i="9"/>
  <c r="L3" i="9"/>
  <c r="G3" i="9"/>
  <c r="F10" i="9"/>
  <c r="F49" i="19" l="1"/>
  <c r="F3" i="9"/>
  <c r="C3" i="9"/>
  <c r="K3" i="9"/>
  <c r="M10" i="9"/>
  <c r="H3" i="9"/>
  <c r="E3" i="9"/>
  <c r="F37" i="17" l="1"/>
  <c r="I37" i="17"/>
  <c r="J3" i="9"/>
  <c r="M3" i="9" s="1"/>
  <c r="B5" i="9"/>
  <c r="B6" i="9" s="1"/>
  <c r="B9" i="9" s="1"/>
  <c r="B13" i="9" s="1"/>
  <c r="G37" i="17" l="1"/>
  <c r="H37" i="17"/>
  <c r="E37" i="17" l="1"/>
  <c r="B16" i="9" l="1"/>
  <c r="G9" i="19"/>
  <c r="F9" i="19" s="1"/>
  <c r="B21" i="9" l="1"/>
  <c r="D19" i="9" l="1"/>
  <c r="K19" i="9"/>
  <c r="E19" i="9"/>
  <c r="L19" i="9"/>
  <c r="H19" i="9"/>
  <c r="J19" i="9"/>
  <c r="C19" i="9"/>
  <c r="B36" i="9"/>
  <c r="F19" i="9"/>
  <c r="G19" i="9"/>
  <c r="I19" i="9"/>
  <c r="M19" i="9" l="1"/>
  <c r="D38" i="17"/>
  <c r="D39" i="17" s="1"/>
  <c r="B15" i="9" l="1"/>
  <c r="B23" i="9" l="1"/>
  <c r="B26" i="9" s="1"/>
  <c r="B28" i="9" s="1"/>
  <c r="B30" i="9" s="1"/>
  <c r="E8" i="9" l="1"/>
  <c r="C8" i="9"/>
  <c r="L8" i="9"/>
  <c r="D8" i="9"/>
  <c r="I8" i="9"/>
  <c r="H8" i="9"/>
  <c r="K8" i="9"/>
  <c r="F8" i="9" l="1"/>
  <c r="G8" i="9"/>
  <c r="J8" i="9"/>
  <c r="M8" i="9" l="1"/>
  <c r="I18" i="9" l="1"/>
  <c r="I22" i="9"/>
  <c r="I21" i="9"/>
  <c r="D21" i="9"/>
  <c r="D18" i="9"/>
  <c r="D22" i="9"/>
  <c r="K22" i="9"/>
  <c r="K18" i="9"/>
  <c r="K21" i="9"/>
  <c r="E21" i="9"/>
  <c r="E22" i="9"/>
  <c r="E18" i="9"/>
  <c r="H18" i="9"/>
  <c r="H22" i="9"/>
  <c r="H21" i="9"/>
  <c r="L21" i="9"/>
  <c r="L18" i="9"/>
  <c r="L22" i="9"/>
  <c r="G22" i="9" l="1"/>
  <c r="G18" i="9"/>
  <c r="G21" i="9"/>
  <c r="F48" i="19"/>
  <c r="J21" i="9"/>
  <c r="J18" i="9"/>
  <c r="J22" i="9"/>
  <c r="F22" i="9"/>
  <c r="F21" i="9"/>
  <c r="F18" i="9"/>
  <c r="C21" i="9" l="1"/>
  <c r="C18" i="9"/>
  <c r="M18" i="9" s="1"/>
  <c r="C22" i="9"/>
  <c r="M21" i="9" l="1"/>
  <c r="M22" i="9"/>
  <c r="L5" i="9" l="1"/>
  <c r="L6" i="9" s="1"/>
  <c r="L9" i="9" s="1"/>
  <c r="L13" i="9" s="1"/>
  <c r="L23" i="9" s="1"/>
  <c r="L26" i="9" s="1"/>
  <c r="L28" i="9" s="1"/>
  <c r="H5" i="9"/>
  <c r="H6" i="9" s="1"/>
  <c r="H9" i="9" s="1"/>
  <c r="H13" i="9" s="1"/>
  <c r="J5" i="9"/>
  <c r="J6" i="9" s="1"/>
  <c r="J9" i="9" s="1"/>
  <c r="J13" i="9" s="1"/>
  <c r="I5" i="9"/>
  <c r="I6" i="9" s="1"/>
  <c r="I9" i="9" s="1"/>
  <c r="I13" i="9" s="1"/>
  <c r="F5" i="9"/>
  <c r="F6" i="9" s="1"/>
  <c r="F9" i="9" s="1"/>
  <c r="F13" i="9" s="1"/>
  <c r="E5" i="9"/>
  <c r="E6" i="9" s="1"/>
  <c r="E9" i="9" s="1"/>
  <c r="E13" i="9" s="1"/>
  <c r="J23" i="9" l="1"/>
  <c r="J31" i="9"/>
  <c r="E23" i="9"/>
  <c r="E31" i="9"/>
  <c r="F31" i="9"/>
  <c r="F23" i="9"/>
  <c r="H23" i="9"/>
  <c r="H31" i="9"/>
  <c r="K5" i="9"/>
  <c r="K6" i="9" s="1"/>
  <c r="K9" i="9" s="1"/>
  <c r="K13" i="9" s="1"/>
  <c r="G5" i="9"/>
  <c r="G6" i="9" s="1"/>
  <c r="G9" i="9" s="1"/>
  <c r="G13" i="9" s="1"/>
  <c r="G38" i="17"/>
  <c r="G39" i="17" s="1"/>
  <c r="I23" i="9"/>
  <c r="I31" i="9"/>
  <c r="L29" i="9"/>
  <c r="I35" i="9" l="1"/>
  <c r="I26" i="9"/>
  <c r="I28" i="9" s="1"/>
  <c r="K23" i="9"/>
  <c r="K31" i="9"/>
  <c r="E35" i="9"/>
  <c r="E26" i="9"/>
  <c r="E28" i="9" s="1"/>
  <c r="H38" i="17"/>
  <c r="H39" i="17" s="1"/>
  <c r="G31" i="9"/>
  <c r="G23" i="9"/>
  <c r="H26" i="9"/>
  <c r="H28" i="9" s="1"/>
  <c r="H35" i="9"/>
  <c r="J35" i="9"/>
  <c r="J26" i="9"/>
  <c r="J28" i="9" s="1"/>
  <c r="I38" i="17"/>
  <c r="I39" i="17" s="1"/>
  <c r="F26" i="9"/>
  <c r="F28" i="9" s="1"/>
  <c r="F35" i="9"/>
  <c r="E34" i="9" l="1"/>
  <c r="E29" i="9"/>
  <c r="I29" i="9"/>
  <c r="I34" i="9"/>
  <c r="J29" i="9"/>
  <c r="J34" i="9"/>
  <c r="C5" i="9"/>
  <c r="D5" i="9"/>
  <c r="D6" i="9" s="1"/>
  <c r="D9" i="9" s="1"/>
  <c r="D13" i="9" s="1"/>
  <c r="H29" i="9"/>
  <c r="H34" i="9"/>
  <c r="K35" i="9"/>
  <c r="K26" i="9"/>
  <c r="K28" i="9" s="1"/>
  <c r="F34" i="9"/>
  <c r="F29" i="9"/>
  <c r="G26" i="9"/>
  <c r="G28" i="9" s="1"/>
  <c r="G35" i="9"/>
  <c r="E38" i="17" l="1"/>
  <c r="E39" i="17" s="1"/>
  <c r="K29" i="9"/>
  <c r="D23" i="9"/>
  <c r="D31" i="9"/>
  <c r="C6" i="9"/>
  <c r="M5" i="9"/>
  <c r="G34" i="9"/>
  <c r="G29" i="9"/>
  <c r="F38" i="17"/>
  <c r="F39" i="17" s="1"/>
  <c r="D26" i="9" l="1"/>
  <c r="D28" i="9" s="1"/>
  <c r="D35" i="9"/>
  <c r="M6" i="9"/>
  <c r="C9" i="9"/>
  <c r="D29" i="9" l="1"/>
  <c r="D34" i="9"/>
  <c r="M9" i="9"/>
  <c r="C13" i="9"/>
  <c r="M13" i="9" l="1"/>
  <c r="C23" i="9"/>
  <c r="C31" i="9"/>
  <c r="M23" i="9" l="1"/>
  <c r="C35" i="9"/>
  <c r="C26" i="9"/>
  <c r="M26" i="9" l="1"/>
  <c r="C28" i="9"/>
  <c r="F36" i="9"/>
  <c r="G36" i="9"/>
  <c r="K36" i="9"/>
  <c r="D36" i="9"/>
  <c r="E36" i="9"/>
  <c r="J36" i="9"/>
  <c r="H36" i="9"/>
  <c r="C36" i="9"/>
  <c r="I36" i="9"/>
  <c r="C29" i="9" l="1"/>
  <c r="C34" i="9"/>
  <c r="M28" i="9"/>
  <c r="C30" i="9"/>
  <c r="D30" i="9" l="1"/>
  <c r="E30" i="9" l="1"/>
  <c r="F30" i="9" l="1"/>
  <c r="G30" i="9" l="1"/>
  <c r="H30" i="9" l="1"/>
  <c r="I30" i="9" l="1"/>
  <c r="J30" i="9" l="1"/>
  <c r="K30" i="9" l="1"/>
  <c r="L3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1" authorId="0" shapeId="0" xr:uid="{9E5B3668-F907-4805-A474-5E29D2C7E61A}">
      <text>
        <r>
          <rPr>
            <sz val="8"/>
            <color indexed="81"/>
            <rFont val="Tahoma"/>
            <family val="2"/>
            <charset val="204"/>
          </rPr>
          <t xml:space="preserve">Здесь отражаются счета 01 "Основные средства" и 03 "Долгосрочные арендуемые осн. ср-ва".
Здесь также отражаются капитальные вложения на улучшение земель (мелиоративные, осушительные, ирригационные и др. работы).
</t>
        </r>
      </text>
    </comment>
    <comment ref="A15" authorId="0" shapeId="0" xr:uid="{0A27A974-5760-4927-B8EF-0A2203AB50FF}">
      <text>
        <r>
          <rPr>
            <sz val="8"/>
            <color indexed="81"/>
            <rFont val="Tahoma"/>
            <family val="2"/>
            <charset val="204"/>
          </rPr>
          <t>Счёт 04 "Нематериальные активы".
Сюда относятся права на использование природных ресурсов, земельных участков, патентов, лицензии на интеллектуальную собственность, организационные расходы. По нематериальным активам, по которым невозможно определить срок использования, норма износа устанавливается в расчёте на 5 лет (но не более срока деятельности предприятия).</t>
        </r>
      </text>
    </comment>
    <comment ref="A19" authorId="0" shapeId="0" xr:uid="{3E45C929-4EA8-41B5-8A44-57AE3ADC1E84}">
      <text>
        <r>
          <rPr>
            <sz val="8"/>
            <color indexed="81"/>
            <rFont val="Tahoma"/>
            <family val="2"/>
            <charset val="204"/>
          </rPr>
          <t>Счета 07 "Оборудование к установке" и 08 "Капитальные вложения".
По этой статье показывается застройщиком стоимость незаконченного строительства, осуществляемого как хозяйственным, так и подрядным способами.
Здесь отражается по фактической стоимости запасы оборудования, подлежащего установке и находящегося на складах предприятия.</t>
        </r>
      </text>
    </comment>
    <comment ref="A20" authorId="0" shapeId="0" xr:uid="{4FFCC7EC-7FFA-41C1-8DDF-54489FA6DEEF}">
      <text>
        <r>
          <rPr>
            <sz val="8"/>
            <color indexed="81"/>
            <rFont val="Tahoma"/>
            <family val="2"/>
            <charset val="204"/>
          </rPr>
          <t>По данной статье показывается сумма вложенных средств в акции дочерних предприятий, учитываемых в аналитическом разрезе на счёте 06 "Долгосрочные финансовые вложения" (субсчёт 06-1 "Паи и акции").</t>
        </r>
      </text>
    </comment>
    <comment ref="A21" authorId="0" shapeId="0" xr:uid="{5E08AC82-607E-42F3-8F69-1CFE1EB79E42}">
      <text>
        <r>
          <rPr>
            <sz val="8"/>
            <color indexed="81"/>
            <rFont val="Tahoma"/>
            <family val="2"/>
            <charset val="204"/>
          </rPr>
          <t>По данной статье отражается сумма
выданных дочерним предприятиям займов,  учитываемых в аналитическом разрезе на счёте 06 "Долгосрочные финансовые вложения" (субсчёт 06-3 "Предоставленные займы").</t>
        </r>
      </text>
    </comment>
    <comment ref="A22" authorId="0" shapeId="0" xr:uid="{E3E0680E-AF64-478B-B9AC-B3173F7537E9}">
      <text>
        <r>
          <rPr>
            <sz val="8"/>
            <color indexed="81"/>
            <rFont val="Tahoma"/>
            <family val="2"/>
            <charset val="204"/>
          </rPr>
          <t>Здесь показывается сумма вложенных средств в акции ассоциированных предприятий, учитываемых в аналитическом разрезе на счёте 06 "Долгосрочные финансовые вложения" (субсчёт 06-1 "Паи и акции").</t>
        </r>
      </text>
    </comment>
    <comment ref="A23" authorId="0" shapeId="0" xr:uid="{7E832727-CDB2-4EFB-8892-E3A710337FAC}">
      <text>
        <r>
          <rPr>
            <sz val="8"/>
            <color indexed="81"/>
            <rFont val="Tahoma"/>
            <family val="2"/>
            <charset val="204"/>
          </rPr>
          <t xml:space="preserve">Здесь отражается сумма выданных займов ассоциированным предприятиям, учитываемых на счёте 06 "Долгосрочные финансовые вложения" (субсчёт 06-3 "Предоставленные займы").
 </t>
        </r>
      </text>
    </comment>
    <comment ref="A24" authorId="0" shapeId="0" xr:uid="{962D4AB1-8351-4BB1-9FA9-A5ED2EFDB98A}">
      <text>
        <r>
          <rPr>
            <sz val="8"/>
            <color indexed="81"/>
            <rFont val="Tahoma"/>
            <family val="2"/>
            <charset val="204"/>
          </rPr>
          <t xml:space="preserve">Счёт 06 "Долгосрочные финансовые вложения".
Показываются долгосрочные (более одного года) инвестиции в доходные активы (акции, облигации) государства, уставные фонды других предприятий (за исключением ассоциированных и дочерних). </t>
        </r>
      </text>
    </comment>
    <comment ref="A25" authorId="0" shapeId="0" xr:uid="{B85B35D2-087D-4B0A-AB9B-2300C27B5428}">
      <text>
        <r>
          <rPr>
            <sz val="8"/>
            <color indexed="81"/>
            <rFont val="Tahoma"/>
            <family val="2"/>
            <charset val="204"/>
          </rPr>
          <t xml:space="preserve">Показывается сумма долгосрочных займов, не учтённые в вышеперечисленных статьях и учитываемые на счёте 06 "Долгосрочные финансовые вложения".
</t>
        </r>
      </text>
    </comment>
    <comment ref="A26" authorId="0" shapeId="0" xr:uid="{B952B28A-25B2-425D-9C16-01E3D2A3AA03}">
      <text>
        <r>
          <rPr>
            <sz val="8"/>
            <color indexed="81"/>
            <rFont val="Tahoma"/>
            <family val="2"/>
            <charset val="204"/>
          </rPr>
          <t>По данной статье показываются другие долгосрочные средства и вложения не перечисленные в предыдущих статьях. В частности, по этой статье предприятие-арендодатель показывает остаток задолженности по основным средствам, переданным в долгосрочную аренду, числящиеся на счёте 09 "Арендные обязательства к поступлению".</t>
        </r>
      </text>
    </comment>
    <comment ref="A30" authorId="0" shapeId="0" xr:uid="{0ACEAB4C-C38F-4322-A166-75E7CF69E037}">
      <text>
        <r>
          <rPr>
            <sz val="8"/>
            <color indexed="81"/>
            <rFont val="Tahoma"/>
            <family val="2"/>
            <charset val="204"/>
          </rPr>
          <t>Счета 10,11,12-13,15,16.
Здесь показывается фактич.себест-сть запасов сырья, материалов,покупных полуфабрикатов, комплектующих изделий и др.МБП по их остаточной стоимости (разница между счётом 12 "МБП" и счётом 13 "Износ МБП").Также указанные ценности отражаются здесь, если для учёта используются счета 15 и 16.</t>
        </r>
      </text>
    </comment>
    <comment ref="A31" authorId="0" shapeId="0" xr:uid="{069AEC5E-3697-41B9-9E7F-8D0CF32BF206}">
      <text>
        <r>
          <rPr>
            <sz val="8"/>
            <color indexed="81"/>
            <rFont val="Tahoma"/>
            <family val="2"/>
            <charset val="204"/>
          </rPr>
          <t>Счета 20,21,23,29.
Здесь показываются затраты по незавершённому производству и незавершённым работам (услугам), учёт которых осуществляется на счетах бух.учёта раздела "Затраты на производство" Плана счетов.</t>
        </r>
      </text>
    </comment>
    <comment ref="A32" authorId="0" shapeId="0" xr:uid="{A552DAB7-FBB9-4381-99DF-041602DD7FE1}">
      <text>
        <r>
          <rPr>
            <sz val="8"/>
            <color indexed="81"/>
            <rFont val="Tahoma"/>
            <family val="2"/>
            <charset val="204"/>
          </rPr>
          <t xml:space="preserve">Счёт 40.
Показывается фактическая себестоимость остатка законченных производством изделий, укомплектованных всеми частями согласно соответствующим технич. условиям и стандартам. 
При использовании счёта 37 "Выпуск продукции" готовая продукция отражается по данной статье по нормативной (плановой) стоимости.  </t>
        </r>
      </text>
    </comment>
    <comment ref="A33" authorId="0" shapeId="0" xr:uid="{BE8C8DFE-E872-4670-8DDB-8A19F79FC845}">
      <text>
        <r>
          <rPr>
            <sz val="8"/>
            <color indexed="81"/>
            <rFont val="Tahoma"/>
            <family val="2"/>
            <charset val="204"/>
          </rPr>
          <t>Счёт 41 минус счёт 42.
Показывается ст-сть остатков товаров, приобретаемых предприятием сферы торговли и общепита.
Здесь ст-сть товаров приводится как разница между продажной и покупной оценкой, а также суммой скидки (накидки), предоставляемой поставщиком.</t>
        </r>
      </text>
    </comment>
    <comment ref="A34" authorId="0" shapeId="0" xr:uid="{7C7BD117-1FC5-4130-8F6D-0291574B5A11}">
      <text>
        <r>
          <rPr>
            <sz val="8"/>
            <color indexed="81"/>
            <rFont val="Tahoma"/>
            <family val="2"/>
            <charset val="204"/>
          </rPr>
          <t xml:space="preserve">Счёт 31.
Показывается сумма расходов, производимых в отчётном году, но подлежащих погашению в следующих отчётных периодах путём отнесения на издержки производства и обращения в течении срока, к которому они относят-ся.К таким расходам, в частности, расходы по подписке, уплаченная вперёд арендная плата и др. </t>
        </r>
      </text>
    </comment>
    <comment ref="A35" authorId="0" shapeId="0" xr:uid="{F9D2E885-F055-4051-A8F9-42AD12E3BDCA}">
      <text>
        <r>
          <rPr>
            <sz val="8"/>
            <color indexed="81"/>
            <rFont val="Tahoma"/>
            <family val="2"/>
            <charset val="204"/>
          </rPr>
          <t xml:space="preserve">Счета 51,55,56,57.
Показывается остаток денежных средств в сумах, учитываемых на счёте 51 "Р/сч", сч.55 "Прочие счета в банках", сч.56 "Денежные документы", сч. 57 "Переводы в пути".Суммы, отражённые в этой статье, должны соответствовать выпискам банков.
</t>
        </r>
      </text>
    </comment>
    <comment ref="A36" authorId="0" shapeId="0" xr:uid="{2248694A-130D-4DF0-BC55-F1399D772BD9}">
      <text>
        <r>
          <rPr>
            <sz val="8"/>
            <color indexed="81"/>
            <rFont val="Tahoma"/>
            <family val="2"/>
            <charset val="204"/>
          </rPr>
          <t>Счета 50,52,55,56,57.
Показывается остаток валютных средств, находящихся на валютных счетах в банках и валютной кассе предприятия, оценённой в нац. валюте по курсу, установленным Центральным Банком на последнюю дату отчётного периода.</t>
        </r>
      </text>
    </comment>
    <comment ref="A37" authorId="0" shapeId="0" xr:uid="{16807F4C-C253-4811-8EC0-F7D6389EF4B2}">
      <text>
        <r>
          <rPr>
            <sz val="8"/>
            <color indexed="81"/>
            <rFont val="Tahoma"/>
            <family val="2"/>
            <charset val="204"/>
          </rPr>
          <t>Счёт 50.
Показывается остаток денежных средств в национальной валюте, находящейся в кассах предприятия на дату составления баланса.</t>
        </r>
      </text>
    </comment>
    <comment ref="A38" authorId="0" shapeId="0" xr:uid="{1517403E-37E4-48D2-8C6A-D82DD516BD0E}">
      <text>
        <r>
          <rPr>
            <sz val="8"/>
            <color indexed="81"/>
            <rFont val="Tahoma"/>
            <family val="2"/>
            <charset val="204"/>
          </rPr>
          <t xml:space="preserve">Счёт 58.
Показываются краткосрочные (не более одного года) вложения (инвестиции) в предприятия, цен.бумаги других пред-ий, процентные облигации гос. и местных займов, а также предоставленные предприятием другим предприятиям займов. </t>
        </r>
      </text>
    </comment>
    <comment ref="A39" authorId="0" shapeId="0" xr:uid="{6A28130A-611A-498C-BD19-0AF256760D69}">
      <text>
        <r>
          <rPr>
            <sz val="8"/>
            <color indexed="81"/>
            <rFont val="Tahoma"/>
            <family val="2"/>
            <charset val="204"/>
          </rPr>
          <t xml:space="preserve">Счёт 56.
Показывается сумма собственных выкупленных акций, выпущенных пред-ем, и находящихся на пред-ии в течение одного года со дня выпуска, для последующего распространения.Собственные выкупленные акции учитываются на сч.56 "Денежные документы". </t>
        </r>
      </text>
    </comment>
    <comment ref="A42" authorId="0" shapeId="0" xr:uid="{ACB5D527-6D20-4730-8832-C9B3599C43BD}">
      <text>
        <r>
          <rPr>
            <sz val="8"/>
            <color indexed="81"/>
            <rFont val="Tahoma"/>
            <family val="2"/>
            <charset val="204"/>
          </rPr>
          <t>Счёт 09,45,62-82.
Показывается по полной фактической себестоимости или по отпускной или сметной ст-сти, задолженность за отгруженные товары, сданные работы и оказанные услуги до момента погашения этой задолженности путём поступления платежей за них на расчётный (или иной) счёт, зачётом взаимных требований или обеспеченная полученными векселями.</t>
        </r>
      </text>
    </comment>
    <comment ref="A43" authorId="0" shapeId="0" xr:uid="{89D49559-9C75-42B3-BA9B-1EBC3BDF48E0}">
      <text>
        <r>
          <rPr>
            <sz val="8"/>
            <color indexed="81"/>
            <rFont val="Tahoma"/>
            <family val="2"/>
            <charset val="204"/>
          </rPr>
          <t>Счёт 61.
Показывается сумма уплаченных другим предприятиям авансов по предстоящим расчётам. Учёт авансо выданных ведётся на счёте 61 "Расчёты по авансам выданным".</t>
        </r>
      </text>
    </comment>
    <comment ref="A44" authorId="0" shapeId="0" xr:uid="{2B072E6A-2EA2-482F-BF4E-928F1C850026}">
      <text>
        <r>
          <rPr>
            <sz val="8"/>
            <color indexed="81"/>
            <rFont val="Tahoma"/>
            <family val="2"/>
            <charset val="204"/>
          </rPr>
          <t xml:space="preserve">Счёт 68,19.
Показывается задолженность за финансовыми и налоговыми органами, включая по переплате по налогам, сборам и прочим платежам в бюджет. Здесь также показывается сумма НДС, учтённая на сч.19 "НДС по приобретённым ценностям".
</t>
        </r>
      </text>
    </comment>
    <comment ref="A45" authorId="0" shapeId="0" xr:uid="{99D3895D-1D67-48B4-82F4-B2691B35C2C6}">
      <text>
        <r>
          <rPr>
            <sz val="8"/>
            <color indexed="81"/>
            <rFont val="Tahoma"/>
            <family val="2"/>
            <charset val="204"/>
          </rPr>
          <t>Счёт 73.
Показывается задолженность работников пред-ия по предоставленным им ссудам и займам за счёт средств этого пред-ия или банковского кредита и т.п.В частности, здесь отражаются ссуды на индивидуальное строительство, на улучшение жилищных условий или обзаведение домашним хозяйством.</t>
        </r>
      </text>
    </comment>
    <comment ref="A46" authorId="0" shapeId="0" xr:uid="{588E5E93-50CB-4837-A605-CD3FEAD1EC97}">
      <text>
        <r>
          <rPr>
            <sz val="8"/>
            <color indexed="81"/>
            <rFont val="Tahoma"/>
            <family val="2"/>
            <charset val="204"/>
          </rPr>
          <t>Счёт 78.
Отражаются данные по текущим операциям с дочерними пред-ями. Под дочерним пред-ем подразумевается пред-ие, являющееся юр. лицом и над которым осуществляется постоянное право на определение статегической политики  со стороны материнского пред-ия. Данные по основному пред-ию и его дочерним пред-ям должны консолидироваться (сводится).</t>
        </r>
      </text>
    </comment>
    <comment ref="A47" authorId="0" shapeId="0" xr:uid="{461D5C9C-BF14-4141-9638-47F5DB21A9B5}">
      <text>
        <r>
          <rPr>
            <sz val="8"/>
            <color indexed="81"/>
            <rFont val="Tahoma"/>
            <family val="2"/>
            <charset val="204"/>
          </rPr>
          <t>Счета 78,79.
Показываются данные по текущим операциям с ассоциированными пред-ями, учёт расчётов по которым ведётся на счетах 78 "Расчёты с дочерними (зависимыми) пред-ями" и 79 "Внутрихозяйственные расчёты".</t>
        </r>
      </text>
    </comment>
    <comment ref="A48" authorId="0" shapeId="0" xr:uid="{8C51BF46-6269-424F-9E8E-030E294ED485}">
      <text>
        <r>
          <rPr>
            <sz val="8"/>
            <color indexed="81"/>
            <rFont val="Tahoma"/>
            <family val="2"/>
            <charset val="204"/>
          </rPr>
          <t>Счёт 75.
Показывается задолженность учредителей пред-ия по вкладам в уставный капитал пре-ия, учитываемая на счёте 75 "Расчёты с учредителями" (субсчёт "Расчёты с учредителями по вкладам в уставный фонд").</t>
        </r>
      </text>
    </comment>
    <comment ref="A49" authorId="0" shapeId="0" xr:uid="{66BC6B2A-19FA-4B72-BAC7-F6160A499CDF}">
      <text>
        <r>
          <rPr>
            <sz val="8"/>
            <color indexed="81"/>
            <rFont val="Tahoma"/>
            <family val="2"/>
            <charset val="204"/>
          </rPr>
          <t>Счета 63,71,76.
Показывается задолженность за подотчётными лицами, задолженность по расчётам с поставщиками по недостачам ТМЦ, обнаруженным при приёмке. По этой статье отражаются также штрафы, пени и неустойки, признанные должником или по которым получены решения суда или арбитража.</t>
        </r>
      </text>
    </comment>
    <comment ref="A56" authorId="0" shapeId="0" xr:uid="{B0CC17D6-C52F-48DF-9E57-2B4B7B271DFD}">
      <text>
        <r>
          <rPr>
            <sz val="8"/>
            <color indexed="81"/>
            <rFont val="Tahoma"/>
            <family val="2"/>
            <charset val="204"/>
          </rPr>
          <t xml:space="preserve">Счёт 85/1.
Показывается величина уставного капитала, зарегистрированная в учредительных документах (если акции, то по номинальной стоимости). Уставный капитал и фактическая задолженность учредителей по вкладам в уставный капитал отражаются в балансе отдельно.
</t>
        </r>
      </text>
    </comment>
    <comment ref="A57" authorId="0" shapeId="0" xr:uid="{FCFD807A-1E2B-4864-9659-B77FD8781A91}">
      <text>
        <r>
          <rPr>
            <sz val="8"/>
            <color indexed="81"/>
            <rFont val="Tahoma"/>
            <family val="2"/>
            <charset val="204"/>
          </rPr>
          <t>Счёт 85/2.
Показывается сумма эмиссионного дохода, полученного при первичной продаже акций по ценам выше номинальной стоимости.</t>
        </r>
      </text>
    </comment>
    <comment ref="A58" authorId="0" shapeId="0" xr:uid="{5F36CC90-AED8-46F7-8BD3-FA5BC4D72BF4}">
      <text>
        <r>
          <rPr>
            <sz val="8"/>
            <color indexed="81"/>
            <rFont val="Tahoma"/>
            <family val="2"/>
            <charset val="204"/>
          </rPr>
          <t>Счёт 85/3.
Показывается сумма резервов, созданных за счёт прибыли согласно устава пред-ия, инфляционных резервов, образующихся при переоценке имущества, а также ст-сть безвозмездно полученного имущества, кроме денежных средств, и других поступлений, увлеичвающих имущество АО (товарищества).</t>
        </r>
      </text>
    </comment>
    <comment ref="A59" authorId="0" shapeId="0" xr:uid="{52753E7F-1994-436F-975F-B484D7C83FDE}">
      <text>
        <r>
          <rPr>
            <sz val="8"/>
            <color indexed="81"/>
            <rFont val="Tahoma"/>
            <family val="2"/>
            <charset val="204"/>
          </rPr>
          <t>Счёт 87.
Отражается в квартальных отчётах прибыль-нетто, т.е. разница между сч.80 "Прибыли и убытки" и сч.81 "Начисленные и уплаченные налоги на прибыль".По окончании отчётного года суммы учтённые по сч.81 переносятся в дебет сч.80. Сч.81 закрывается м сальдо на на 1 янв. не имеет.Сч.80, на котором остаётся чистая прибыль (убыток), закрывается путём переноса сальдо на сч.87.</t>
        </r>
      </text>
    </comment>
    <comment ref="A60" authorId="0" shapeId="0" xr:uid="{04F64F39-1E0F-459E-BC57-C20FD7AE25D1}">
      <text>
        <r>
          <rPr>
            <sz val="8"/>
            <color indexed="81"/>
            <rFont val="Tahoma"/>
            <family val="2"/>
            <charset val="204"/>
          </rPr>
          <t>Счета 96,88.
Показываются остатки денежных средств, полученных из бюджета, отраслевых и вне отраслевых фондов специального назначения, от других пред-ий, физ. лиц для осуществления мероприятий целевого назначения, учтённые на сч.96 "Целевое финансирование и поступления".</t>
        </r>
      </text>
    </comment>
    <comment ref="A61" authorId="0" shapeId="0" xr:uid="{2D86AEA6-D9CA-41BA-B6A1-ACF456E98C1C}">
      <text>
        <r>
          <rPr>
            <sz val="8"/>
            <color indexed="81"/>
            <rFont val="Tahoma"/>
            <family val="2"/>
            <charset val="204"/>
          </rPr>
          <t xml:space="preserve">Счёт 89.
Показываются остатки средств зарезервированных предприятием  на оплату отпусков работникам, выплату ежегодного вознаграждения, за выслугу лет, на ремонт осн. средств и т.п. в целях равномерного включения в издержки производства и обращения
</t>
        </r>
      </text>
    </comment>
    <comment ref="A62" authorId="0" shapeId="0" xr:uid="{A4849AAD-A5C9-45AF-A576-432281645110}">
      <text>
        <r>
          <rPr>
            <sz val="8"/>
            <color indexed="81"/>
            <rFont val="Tahoma"/>
            <family val="2"/>
            <charset val="204"/>
          </rPr>
          <t>Счёт 83.
Показываются средства, полученные в отчётном году, но относящиеся к будущим отчётным периодам (арендная плата и т.п.), а также иные суммы, учитываемые в соответствие с действующим порядком на счету 83 "Доходы будущих периодов"</t>
        </r>
      </text>
    </comment>
    <comment ref="A66" authorId="0" shapeId="0" xr:uid="{72238FF0-FB88-49A6-8976-573C6D154390}">
      <text>
        <r>
          <rPr>
            <sz val="8"/>
            <color indexed="81"/>
            <rFont val="Tahoma"/>
            <family val="2"/>
            <charset val="204"/>
          </rPr>
          <t xml:space="preserve">Счета 95, 97.
Показываются суммы задолженности по полученным от других пред-ий и учреждений (кроме банков) долгосрочным (более 1 года) займам. Здесь также арендатор отражает состояние расчётов с арендодателями за основные средства (сч. 97), полученные на срок более 1 года. </t>
        </r>
      </text>
    </comment>
    <comment ref="A67" authorId="0" shapeId="0" xr:uid="{50D5CE5E-1160-4801-BCE6-3B19B1757D75}">
      <text>
        <r>
          <rPr>
            <sz val="8"/>
            <color indexed="81"/>
            <rFont val="Tahoma"/>
            <family val="2"/>
            <charset val="204"/>
          </rPr>
          <t>Счёт 92.
Показываются суммы задолженности по полученным от банков долгосрочным (более 1 года) кредитам.</t>
        </r>
      </text>
    </comment>
    <comment ref="A68" authorId="0" shapeId="0" xr:uid="{91147F9B-5282-4893-BF57-CE193CFB1CCD}">
      <text>
        <r>
          <rPr>
            <sz val="8"/>
            <color indexed="81"/>
            <rFont val="Tahoma"/>
            <family val="2"/>
            <charset val="204"/>
          </rPr>
          <t>Счета 93,94,97.
Показываются суммы задолженности по полученным от других пред-ий и учреждений  (кроме банков) краткосрочным (до 1 года) займам.</t>
        </r>
      </text>
    </comment>
    <comment ref="A69" authorId="0" shapeId="0" xr:uid="{A68CBE48-E875-45C5-9772-045917C2D147}">
      <text>
        <r>
          <rPr>
            <sz val="8"/>
            <color indexed="81"/>
            <rFont val="Tahoma"/>
            <family val="2"/>
            <charset val="204"/>
          </rPr>
          <t xml:space="preserve">Счета 93,94,97.
Показываются банковские кредиты (до 1 года). Также отражается сумма задолженности по кредитам банков, полученных пред-ем для выдачи ссуд работникам на индивидуальное жилищное строительство, другие цели, а также для возмещения торговым организациям сумм за товары, проданные ими в кредит.
</t>
        </r>
      </text>
    </comment>
    <comment ref="A70" authorId="0" shapeId="0" xr:uid="{7D1934B0-C7E9-43BF-A849-5E052A45E20D}">
      <text>
        <r>
          <rPr>
            <sz val="8"/>
            <color indexed="81"/>
            <rFont val="Tahoma"/>
            <family val="2"/>
            <charset val="204"/>
          </rPr>
          <t>Счёт 64.
Показывается сумма полученных от сторонних организаций авансов по предстоящим расчётам, учтённая на сч. 64 "Расчёты по авансам полученным".</t>
        </r>
      </text>
    </comment>
    <comment ref="A72" authorId="0" shapeId="0" xr:uid="{4C823AA4-19E8-4225-BC24-ECDA5BB216FA}">
      <text>
        <r>
          <rPr>
            <sz val="8"/>
            <color indexed="81"/>
            <rFont val="Tahoma"/>
            <family val="2"/>
            <charset val="204"/>
          </rPr>
          <t>Счёт 60.
Показывается сумма задолженности поставщикам и подрядчикам за поступившие материальные ценности, выполненные работы и оказанные услуги, а также отражается задолженность поставщикам по неотфактурованным поставкам.Также показывается сумма задолженности разным кредиторам, которым пред-ие выдало в обеспечение векселя.</t>
        </r>
      </text>
    </comment>
    <comment ref="A73" authorId="0" shapeId="0" xr:uid="{8282E55C-1E2F-4CA3-ADEC-2E139DA27383}">
      <text>
        <r>
          <rPr>
            <sz val="8"/>
            <color indexed="81"/>
            <rFont val="Tahoma"/>
            <family val="2"/>
            <charset val="204"/>
          </rPr>
          <t xml:space="preserve">Счёт 68.
Показывается задолженность предприятия по всем видам платежей в бюджет, включая налог с работников предприятия.
</t>
        </r>
      </text>
    </comment>
    <comment ref="A74" authorId="0" shapeId="0" xr:uid="{D0CCEBAE-E775-4ABD-B6A5-F81BBFBBC309}">
      <text>
        <r>
          <rPr>
            <sz val="8"/>
            <color indexed="81"/>
            <rFont val="Tahoma"/>
            <family val="2"/>
            <charset val="204"/>
          </rPr>
          <t xml:space="preserve">Счёт 70/1, 70/2.
Показываются начисленные, но ещё не выплаченные суммы оплаты труда. Дебетовое сальдо по счетам отражающим расчёты по оплате труда и страхованию, показываются в активе баланса по статье "Прочие дебиторы".
  </t>
        </r>
      </text>
    </comment>
    <comment ref="A75" authorId="0" shapeId="0" xr:uid="{54CF9CDB-638D-4B51-92C0-CF01D5FCF2CF}">
      <text>
        <r>
          <rPr>
            <sz val="8"/>
            <color indexed="81"/>
            <rFont val="Tahoma"/>
            <family val="2"/>
            <charset val="204"/>
          </rPr>
          <t>Счёт 69.
Отражается сумма задолженности по отчислениям на социальное страхование, пенсионное обеспечение и медицинское страхование работников предприятия.</t>
        </r>
      </text>
    </comment>
    <comment ref="A76" authorId="0" shapeId="0" xr:uid="{6E237D9E-DDB7-45AA-AF90-1236F954335B}">
      <text>
        <r>
          <rPr>
            <sz val="8"/>
            <color indexed="81"/>
            <rFont val="Tahoma"/>
            <family val="2"/>
            <charset val="204"/>
          </rPr>
          <t>Счёт 65.
Показывается задолженность по платежам по обязательному и добровольному страхованию имущества  и работников предприятия и другим видам страхования, в которых предприятие является страхователем.</t>
        </r>
      </text>
    </comment>
    <comment ref="A77" authorId="0" shapeId="0" xr:uid="{4EA93DFB-364C-43BA-BC1E-690A4CED5773}">
      <text>
        <r>
          <rPr>
            <sz val="8"/>
            <color indexed="81"/>
            <rFont val="Tahoma"/>
            <family val="2"/>
            <charset val="204"/>
          </rPr>
          <t>Счёт 67.
Показывается задолженность предприятия перед органами гос. управления по внебюджетным отчислениям и в другие специальные фонды, перечисляемые гос. органам в соответствии с установленным законодательством порядке.</t>
        </r>
      </text>
    </comment>
    <comment ref="A78" authorId="0" shapeId="0" xr:uid="{74ED333B-3709-4A7F-ACD2-F657FAA3BEC8}">
      <text>
        <r>
          <rPr>
            <sz val="8"/>
            <color indexed="81"/>
            <rFont val="Tahoma"/>
            <family val="2"/>
            <charset val="204"/>
          </rPr>
          <t>Счёт 78.
Отражаются данные по текущим операциям с дочерними пред-ями (межбалансовые расчёты). Данные по основному пред-ию и его дочерним пред-ям должны консолидироваться (сводится). В сводном отчёте указанные статьи сальдируются.</t>
        </r>
      </text>
    </comment>
    <comment ref="A79" authorId="0" shapeId="0" xr:uid="{29B1C2E7-2853-4E29-9F0A-ACA713672292}">
      <text>
        <r>
          <rPr>
            <sz val="8"/>
            <color indexed="81"/>
            <rFont val="Tahoma"/>
            <family val="2"/>
            <charset val="204"/>
          </rPr>
          <t xml:space="preserve">Счета 78, 79.
Отражается сумма задолженности ассоциированным пред-ям, учёт которых ведётся на сч. 78 "Расчёты с дочерними (зависимыми) пред-ями" и 79 "Внутрихозяйственные расчёты". 
</t>
        </r>
      </text>
    </comment>
    <comment ref="A80" authorId="0" shapeId="0" xr:uid="{A65BBA7C-A024-4878-B311-08A896A13544}">
      <text>
        <r>
          <rPr>
            <sz val="8"/>
            <color indexed="81"/>
            <rFont val="Tahoma"/>
            <family val="2"/>
            <charset val="204"/>
          </rPr>
          <t xml:space="preserve">Счета 71/2, 73, 75/1, 76/1, 79.
Отражается задолженность пред-ия по расчётам, не нашедшим отражения по другим статьям группы "Расчёты с кредиторами".
</t>
        </r>
      </text>
    </comment>
    <comment ref="A90" authorId="0" shapeId="0" xr:uid="{C51C8BDD-0E5D-4FC8-8668-FD0B77FB0E2C}">
      <text>
        <r>
          <rPr>
            <sz val="8"/>
            <color indexed="81"/>
            <rFont val="Tahoma"/>
            <family val="2"/>
            <charset val="204"/>
          </rPr>
          <t>Отражается вся выручка вместе с налогами, уплачиваемыми покупателями и заказчиками в составе выручки (за вычетом стоимости возвращённых товаров и готовой продукции, скидок покупателя с продажных цен). Также подтверждённое банком поступление сумов от части обязательных продаж выручки пред-ия в ин.валюте от экспорта отдельных товаров, работ и услуг.</t>
        </r>
      </text>
    </comment>
    <comment ref="A91" authorId="0" shapeId="0" xr:uid="{624FCB9C-149D-4E4E-92D3-68C545D39849}">
      <text>
        <r>
          <rPr>
            <sz val="8"/>
            <color indexed="81"/>
            <rFont val="Tahoma"/>
            <family val="2"/>
            <charset val="204"/>
          </rPr>
          <t xml:space="preserve">При заполнении в части данных расчётов с бюджетом по НДС необходимо руководствоваться Инструкцией МФ РУз и ГГНУ при КМ РУз от 15 янв. 1993 г. № 9/16.
</t>
        </r>
      </text>
    </comment>
    <comment ref="A92" authorId="0" shapeId="0" xr:uid="{42551671-BCCA-4CCD-9BAD-72BCC4E22771}">
      <text>
        <r>
          <rPr>
            <sz val="8"/>
            <color indexed="81"/>
            <rFont val="Tahoma"/>
            <family val="2"/>
            <charset val="204"/>
          </rPr>
          <t>Отражается пред-ями, уплачивающими акциз, сумма, учтённая по счёту реализации в составе выручки и показанную по дебету счёта 46 и кредиту 68.  Порядок исчисления и уплаты акцизов установлен Инструкцией МФ и ГГНУ при КМ РУз от 15.01.93 г. №6/13, а также от 28.12.93 г. № 90/75.</t>
        </r>
      </text>
    </comment>
    <comment ref="A93" authorId="0" shapeId="0" xr:uid="{7B8D43E1-4330-4952-B9B7-EB8FD171C3D6}">
      <text>
        <r>
          <rPr>
            <sz val="8"/>
            <color indexed="81"/>
            <rFont val="Tahoma"/>
            <family val="2"/>
            <charset val="204"/>
          </rPr>
          <t>Отражается налог на вывоз, экспортные пошлины и другие отчисления, причитающиеся к оплате на таможне и связанные с вывозом продукции (работ, услуг), а также сумма маржи, взимаемая с покупателя при реализации импортированных потребительских товаров по договорному курсу, установленному уполномоченными банками с учётом банковской маржи.</t>
        </r>
      </text>
    </comment>
    <comment ref="A94" authorId="0" shapeId="0" xr:uid="{DFE22B4F-FDEF-4A1D-BAFD-430895030C6C}">
      <text>
        <r>
          <rPr>
            <sz val="8"/>
            <color indexed="81"/>
            <rFont val="Tahoma"/>
            <family val="2"/>
            <charset val="204"/>
          </rPr>
          <t>Показывается финансовый результат от реализации продукции, услуг, получение которого явилось целью созданного пред-ия, а также реализация на сторону продукции подсобных, вспомогательных и обслуживающих производств пред-ия, сумма превышения доходов над расходами, полученные организациями, не стоящими на хоз-венном расчёте и получающими доходы от комм. деятельности.</t>
        </r>
      </text>
    </comment>
    <comment ref="A95" authorId="0" shapeId="0" xr:uid="{A6663D8F-6A3B-4090-8300-85A51B19DE84}">
      <text>
        <r>
          <rPr>
            <sz val="8"/>
            <color indexed="81"/>
            <rFont val="Tahoma"/>
            <family val="2"/>
            <charset val="204"/>
          </rPr>
          <t>Здесь обобщаются затраты на счетах 20 "Осн. пр-во", 23 "Вспомогательное пр-во", 29 "Обслуживающие пр-ва и хозяйства". Торгующие организации отражают покупную стоимость реализованных товаров. Посреднические организации, получающие доход в виде платы за услуги, без участия в товарообороте (приёмке и продаже товаров), эту строку не заполняют.</t>
        </r>
      </text>
    </comment>
    <comment ref="A96" authorId="0" shapeId="0" xr:uid="{26E78008-2F21-41B4-ABFA-CF2F087AA61A}">
      <text>
        <r>
          <rPr>
            <sz val="8"/>
            <color indexed="81"/>
            <rFont val="Tahoma"/>
            <family val="2"/>
            <charset val="204"/>
          </rPr>
          <t>Определяется как разница между чистой выручкой от реализации и производственной себестоимостью.</t>
        </r>
      </text>
    </comment>
    <comment ref="A97" authorId="0" shapeId="0" xr:uid="{739FFBE0-C69A-4DAE-902F-C4AC8D03F441}">
      <text>
        <r>
          <rPr>
            <sz val="8"/>
            <color indexed="81"/>
            <rFont val="Tahoma"/>
            <family val="2"/>
            <charset val="204"/>
          </rPr>
          <t>Обобщаются данные по субсчёту 80-2 "Расходы периода".</t>
        </r>
      </text>
    </comment>
    <comment ref="A98" authorId="0" shapeId="0" xr:uid="{083B2FDE-7F8D-4D1B-B277-B5AE199F0AD1}">
      <text>
        <r>
          <rPr>
            <sz val="8"/>
            <color indexed="81"/>
            <rFont val="Tahoma"/>
            <family val="2"/>
            <charset val="204"/>
          </rPr>
          <t>Также как и в предыдущей строке обобщаются данные по субсчёту 80-2 "Расходы периода".</t>
        </r>
      </text>
    </comment>
    <comment ref="A99" authorId="0" shapeId="0" xr:uid="{78C35715-00A6-468B-ADB1-089ED1695477}">
      <text>
        <r>
          <rPr>
            <sz val="8"/>
            <color indexed="81"/>
            <rFont val="Tahoma"/>
            <family val="2"/>
            <charset val="204"/>
          </rPr>
          <t xml:space="preserve">Также как и в предыдущих строках в расходной стороне обобщаются данные по субсчёту 80-2 "Расходы периода". В части операционных доходов заполняется по данным субсчёта 80-3 "Операционные доходы и поступления". </t>
        </r>
      </text>
    </comment>
    <comment ref="A100" authorId="0" shapeId="0" xr:uid="{733168DE-0688-4953-9624-9BDE89BF8B6D}">
      <text>
        <r>
          <rPr>
            <sz val="8"/>
            <color indexed="81"/>
            <rFont val="Tahoma"/>
            <family val="2"/>
            <charset val="204"/>
          </rPr>
          <t>Из валового финансового результата (стр. 070) вычитается сумма расходов на реализацию (стр. 080), административных расходов (стр. 090), прочих расходов (стр. 100 гр. 6) и прибавляется сумма прочих доходов (стр. 100 гр. 5).</t>
        </r>
      </text>
    </comment>
    <comment ref="A101" authorId="0" shapeId="0" xr:uid="{434165FD-FA22-493A-A0BD-71AE422FF3FE}">
      <text>
        <r>
          <rPr>
            <sz val="8"/>
            <color indexed="81"/>
            <rFont val="Tahoma"/>
            <family val="2"/>
            <charset val="204"/>
          </rPr>
          <t>Заполняются по данным, обобщаемым на субсчёте 80-4 "Прибыли и убытки от финансовой деятельности".</t>
        </r>
      </text>
    </comment>
    <comment ref="A102" authorId="0" shapeId="0" xr:uid="{1C479FEB-C532-4F5F-9836-9C5269DAD9FB}">
      <text>
        <r>
          <rPr>
            <sz val="8"/>
            <color indexed="81"/>
            <rFont val="Tahoma"/>
            <family val="2"/>
            <charset val="204"/>
          </rPr>
          <t>Как и в предыдущей строке - данные по субсчёту 80-4 "Прибыли и убытки от финансовой деятельности".</t>
        </r>
      </text>
    </comment>
    <comment ref="A103" authorId="0" shapeId="0" xr:uid="{78A6DF70-6759-4FE6-B7F0-FCF83727B448}">
      <text>
        <r>
          <rPr>
            <sz val="8"/>
            <color indexed="81"/>
            <rFont val="Tahoma"/>
            <family val="2"/>
            <charset val="204"/>
          </rPr>
          <t>Как и в предыдущих строках - субсчёт 80-4.</t>
        </r>
      </text>
    </comment>
    <comment ref="A104" authorId="0" shapeId="0" xr:uid="{4597958A-916B-4223-AFEF-F37B67513123}">
      <text>
        <r>
          <rPr>
            <sz val="8"/>
            <color indexed="81"/>
            <rFont val="Tahoma"/>
            <family val="2"/>
            <charset val="204"/>
          </rPr>
          <t>Как и в предыдущих строках - субсчёт 80-4.</t>
        </r>
      </text>
    </comment>
    <comment ref="A105" authorId="0" shapeId="0" xr:uid="{460F0880-AE3A-4282-874E-5F2C432B611A}">
      <text>
        <r>
          <rPr>
            <sz val="8"/>
            <color indexed="81"/>
            <rFont val="Tahoma"/>
            <family val="2"/>
            <charset val="204"/>
          </rPr>
          <t>Как и в предыдущих строках - субсчёт 80-4.</t>
        </r>
      </text>
    </comment>
    <comment ref="A106" authorId="0" shapeId="0" xr:uid="{EE8D7AE0-588A-4072-963E-9B82379EB8A5}">
      <text>
        <r>
          <rPr>
            <sz val="8"/>
            <color indexed="81"/>
            <rFont val="Tahoma"/>
            <family val="2"/>
            <charset val="204"/>
          </rPr>
          <t>Как и в предыдущих строках - субсчёт 80-4.</t>
        </r>
      </text>
    </comment>
    <comment ref="A107" authorId="0" shapeId="0" xr:uid="{B43073FC-F878-43ED-B1E9-B1462DDE1B18}">
      <text>
        <r>
          <rPr>
            <sz val="8"/>
            <color indexed="81"/>
            <rFont val="Tahoma"/>
            <family val="2"/>
            <charset val="204"/>
          </rPr>
          <t>Это финансовый результат от основной деятельности плюс (или минус) результаты от финансовой деятельности предприятия.</t>
        </r>
      </text>
    </comment>
    <comment ref="A108" authorId="0" shapeId="0" xr:uid="{80F8EE73-32BC-4D99-A021-658348747BBF}">
      <text>
        <r>
          <rPr>
            <sz val="8"/>
            <color indexed="81"/>
            <rFont val="Tahoma"/>
            <family val="2"/>
            <charset val="204"/>
          </rPr>
          <t>Заполняются по данным субсчёта 80-5 "Чрезвычайные прибыли и убытки".</t>
        </r>
      </text>
    </comment>
    <comment ref="A109" authorId="0" shapeId="0" xr:uid="{C845E471-96B4-4372-A024-BF807F9BF83B}">
      <text>
        <r>
          <rPr>
            <sz val="8"/>
            <color indexed="81"/>
            <rFont val="Tahoma"/>
            <family val="2"/>
            <charset val="204"/>
          </rPr>
          <t>Результат суммирования строк 150 и 160 (с учётом знака +/-). Результат этой строки является основополагающим при расчёте налога на прибыль (доход).</t>
        </r>
      </text>
    </comment>
    <comment ref="A110" authorId="0" shapeId="0" xr:uid="{C3EF1BEB-2ADA-4A19-8DE1-ED9CF95DC2DC}">
      <text>
        <r>
          <rPr>
            <sz val="8"/>
            <color indexed="81"/>
            <rFont val="Tahoma"/>
            <family val="2"/>
            <charset val="204"/>
          </rPr>
          <t>Показывается сумма начисленного с начала года налога на прибыль (доход), причитающаяся к уплате в бюджет и учтённого по дебету счёта 81 "Начисленные и уплаченные налоги на прибыль (доход)".</t>
        </r>
      </text>
    </comment>
    <comment ref="A111" authorId="0" shapeId="0" xr:uid="{18ABC2D8-CC4C-40A4-A0BA-166F4B45233F}">
      <text>
        <r>
          <rPr>
            <sz val="8"/>
            <color indexed="81"/>
            <rFont val="Tahoma"/>
            <family val="2"/>
            <charset val="204"/>
          </rPr>
          <t>Отражается сумма начисленных с начала года налогов и отчислений, подлежащих перечислению в бюджет и внебюджетные фонды, уплачиваемые пред-ем за счёт прибыли и не отражённые в вышеперечисленных статьях.</t>
        </r>
      </text>
    </comment>
    <comment ref="A112" authorId="0" shapeId="0" xr:uid="{64DFE9B1-1634-4724-AF6F-95770F409580}">
      <text>
        <r>
          <rPr>
            <sz val="8"/>
            <color indexed="81"/>
            <rFont val="Tahoma"/>
            <family val="2"/>
            <charset val="204"/>
          </rPr>
          <t>Показывается сумма чистой нераспределённой прибыли (или непокрытого убытка), полученная как разница строк: стр. 170 - стр. 180 - стр. 190.</t>
        </r>
      </text>
    </comment>
    <comment ref="A129" authorId="0" shapeId="0" xr:uid="{891E076F-27B7-4152-B6DD-E037C049E429}">
      <text>
        <r>
          <rPr>
            <sz val="8"/>
            <color indexed="81"/>
            <rFont val="Tahoma"/>
            <family val="2"/>
            <charset val="204"/>
          </rPr>
          <t xml:space="preserve">Head Office: Отношение оборотных активов за вычетом просроченной дебиторской задолженности, к обязательствам предприятия за вычетом долгосрочных кредитов и займов.
Показывает платежные возможности предприятия. </t>
        </r>
      </text>
    </comment>
    <comment ref="A130" authorId="0" shapeId="0" xr:uid="{82DB0F60-A544-4055-AD5A-A5682D884C7D}">
      <text>
        <r>
          <rPr>
            <sz val="8"/>
            <color indexed="81"/>
            <rFont val="Tahoma"/>
            <family val="2"/>
            <charset val="204"/>
          </rPr>
          <t>Head Office: Отношение собственных источников средств к краткосрочным обязательствам.
Показывает степень обеспеченности краткосрочных заемных средств собственными источниками.</t>
        </r>
      </text>
    </comment>
    <comment ref="A131" authorId="0" shapeId="0" xr:uid="{C6035A7D-C0B3-4ACE-93FD-D141F91B572D}">
      <text>
        <r>
          <rPr>
            <sz val="8"/>
            <color indexed="81"/>
            <rFont val="Tahoma"/>
            <family val="2"/>
            <charset val="204"/>
          </rPr>
          <t>Head Office: Отношение разности собственных средств и долгсрочных активов к оборотным активам. Характеризует наличие собственных оборотных средств необходимых для финансовой устойчивости предприятия или соотношение интересов собственников предприятия и кредиторов.</t>
        </r>
      </text>
    </comment>
    <comment ref="A132" authorId="0" shapeId="0" xr:uid="{582C16CE-B325-4ED5-A151-DB6609A6D047}">
      <text>
        <r>
          <rPr>
            <sz val="8"/>
            <color indexed="81"/>
            <rFont val="Tahoma"/>
            <family val="2"/>
            <charset val="204"/>
          </rPr>
          <t>Head Office: Отношение источников собственных средств к итогу актива баланса. Определяет гарантии погашения предприятием своих обязательств.</t>
        </r>
      </text>
    </comment>
    <comment ref="A133" authorId="0" shapeId="0" xr:uid="{44BD3DC6-CA81-4E24-B5A5-26A51E9CA476}">
      <text>
        <r>
          <rPr>
            <sz val="8"/>
            <color indexed="81"/>
            <rFont val="Tahoma"/>
            <family val="2"/>
            <charset val="204"/>
          </rPr>
          <t>Head Office: Отношение денежных средств и легкореализуемых тербований к краткосрочным обязательствам. Показывает какая часть текущих обязятельств может быть погашенна не только за счет наличности, но и за счет ожидаемых поступлений за отгруженную продукцию, выполненные работы и оказанные услуги.</t>
        </r>
      </text>
    </comment>
    <comment ref="A170" authorId="0" shapeId="0" xr:uid="{D2193FA1-FE58-4C73-B0AC-4ED53B77C3C3}">
      <text>
        <r>
          <rPr>
            <sz val="8"/>
            <color indexed="81"/>
            <rFont val="Tahoma"/>
            <family val="2"/>
            <charset val="204"/>
          </rPr>
          <t>Head Office:
Среднее арифметическое на ряд дат по сумме стр. 120-150 актива баланса</t>
        </r>
      </text>
    </comment>
  </commentList>
</comments>
</file>

<file path=xl/sharedStrings.xml><?xml version="1.0" encoding="utf-8"?>
<sst xmlns="http://schemas.openxmlformats.org/spreadsheetml/2006/main" count="1341" uniqueCount="721">
  <si>
    <t>%</t>
  </si>
  <si>
    <t>Вспомогательное оборудование</t>
  </si>
  <si>
    <t>Прочее</t>
  </si>
  <si>
    <t>Наименование продукции</t>
  </si>
  <si>
    <t>Рентабельность</t>
  </si>
  <si>
    <t>Годы</t>
  </si>
  <si>
    <t>ИТОГО</t>
  </si>
  <si>
    <t xml:space="preserve"> </t>
  </si>
  <si>
    <t>Сумма кредита</t>
  </si>
  <si>
    <t>2 год</t>
  </si>
  <si>
    <t>3 год</t>
  </si>
  <si>
    <t>Расходы на реализацию</t>
  </si>
  <si>
    <t>Расходы периода</t>
  </si>
  <si>
    <t>№</t>
  </si>
  <si>
    <t>Коэф. Дисконтирования</t>
  </si>
  <si>
    <t>Дисконтированный денежный поток</t>
  </si>
  <si>
    <t>Дисконтированный денежный поток с нарастающим итогом</t>
  </si>
  <si>
    <t>IRR fin</t>
  </si>
  <si>
    <t>NPV fin</t>
  </si>
  <si>
    <t>PI fin</t>
  </si>
  <si>
    <t>PP fin</t>
  </si>
  <si>
    <t>месяц</t>
  </si>
  <si>
    <t>Точка безубыточности</t>
  </si>
  <si>
    <t>Коэф. обслуж. долга в среднем</t>
  </si>
  <si>
    <t>Наличность</t>
  </si>
  <si>
    <t>квт</t>
  </si>
  <si>
    <t>куб.м.</t>
  </si>
  <si>
    <t>Вода</t>
  </si>
  <si>
    <t>Инвестиционное предложение</t>
  </si>
  <si>
    <t>Проект</t>
  </si>
  <si>
    <t>Наименование проекта</t>
  </si>
  <si>
    <t>Сфера/отрасль</t>
  </si>
  <si>
    <t>Место размещения проекта</t>
  </si>
  <si>
    <t>Продукция или услуга</t>
  </si>
  <si>
    <t xml:space="preserve">Номенклатура продукции </t>
  </si>
  <si>
    <t>Спрос на продукцию проекта, $, в том числе:</t>
  </si>
  <si>
    <t>На внутреннем рынке</t>
  </si>
  <si>
    <t>На внешнем рынке</t>
  </si>
  <si>
    <t>Предполагаемые рынки сбыта , %</t>
  </si>
  <si>
    <t>Внутренний</t>
  </si>
  <si>
    <t>Экспорт</t>
  </si>
  <si>
    <t>Годовая выручка при полной мощности,$</t>
  </si>
  <si>
    <t>в том числе,  выручка от экспорта,$</t>
  </si>
  <si>
    <t>Доля продаж проекта  на рынке, %</t>
  </si>
  <si>
    <t>Стоимость проекта</t>
  </si>
  <si>
    <t>Общая стоимость проекта, $, в том числе:</t>
  </si>
  <si>
    <t>Проектирование</t>
  </si>
  <si>
    <t>Здания, сооружения, земля</t>
  </si>
  <si>
    <t>Основное оборудование</t>
  </si>
  <si>
    <t>Транспортные расходы, шеф-монтаж, обучение</t>
  </si>
  <si>
    <t xml:space="preserve">Прочие фиксированные активы </t>
  </si>
  <si>
    <t>Начальный рабочий капитал (запасы сырья и фин. издержки)</t>
  </si>
  <si>
    <t>План инвестиций</t>
  </si>
  <si>
    <t>Прямые инвестиции,  $ в том числе:</t>
  </si>
  <si>
    <t>Вклад местного инвестора (инициатора), $</t>
  </si>
  <si>
    <t>Вклад иностранного инвестора, $</t>
  </si>
  <si>
    <t>Кредиты или займы, $</t>
  </si>
  <si>
    <t>Экономические параметры проекта</t>
  </si>
  <si>
    <t>Потоки наличности, млн.$</t>
  </si>
  <si>
    <t>1 год</t>
  </si>
  <si>
    <t>4 год</t>
  </si>
  <si>
    <t>5 год</t>
  </si>
  <si>
    <t>6 год</t>
  </si>
  <si>
    <t xml:space="preserve">Притоки </t>
  </si>
  <si>
    <t xml:space="preserve">Оттоки </t>
  </si>
  <si>
    <t>Срок окупаемости (PP) (месяц)</t>
  </si>
  <si>
    <t>Внутренняя норма доходности (IRR),%</t>
  </si>
  <si>
    <t>Чистая приведенная ценность (NPV), млн.$</t>
  </si>
  <si>
    <t>Индекс доходности инвестиций ( (PI)</t>
  </si>
  <si>
    <t xml:space="preserve">Количество рабочих мест </t>
  </si>
  <si>
    <t xml:space="preserve">Количество рабочих мест на 1 млн. $ инвестиций </t>
  </si>
  <si>
    <t>Налоговые льготы и преференции по проекту</t>
  </si>
  <si>
    <t xml:space="preserve">Технологические и технические параметры </t>
  </si>
  <si>
    <t>Применяемая технология и его описание</t>
  </si>
  <si>
    <t>Тип оборудования и гарантируемая производительность, в год, в час.</t>
  </si>
  <si>
    <t>Страна происхождения оборудования</t>
  </si>
  <si>
    <t>Общая стоимость комплекта оборудования</t>
  </si>
  <si>
    <t>Занимаемая площадь оборудования м2</t>
  </si>
  <si>
    <t xml:space="preserve">Срок поставки и ввода оборудования </t>
  </si>
  <si>
    <t xml:space="preserve">Перечень оборудования закупаемая на местном рынке </t>
  </si>
  <si>
    <t>Сырьевые и прочие ресурсы проекта</t>
  </si>
  <si>
    <t>Перечень сырья, комплектующих</t>
  </si>
  <si>
    <t>Источники обеспечения сырьем и комплектующими</t>
  </si>
  <si>
    <t>Перечень энергетических ресурсов и их годовая потребность</t>
  </si>
  <si>
    <t>Перечень прочих ресурсов и их годовая потребность</t>
  </si>
  <si>
    <t>Информация о месте размещения проекта</t>
  </si>
  <si>
    <t>Регион размещения проекта</t>
  </si>
  <si>
    <t>Преимущества место размещения проекта</t>
  </si>
  <si>
    <t>Существующие здания и прочие основные фонды</t>
  </si>
  <si>
    <t>Необходимые объемы строительства (реконструкции или ремонта)</t>
  </si>
  <si>
    <t xml:space="preserve">Сведения об инженерной и дорожной инфраструктуре места размещения проекта </t>
  </si>
  <si>
    <t>Требуемая работы по инженерной и дорожной инфраструктуре</t>
  </si>
  <si>
    <t>Необходимая площадь земли проекта, Га</t>
  </si>
  <si>
    <t>Почтовый адрес размещения проекта</t>
  </si>
  <si>
    <t>Сведения о местном инициаторе проекта</t>
  </si>
  <si>
    <t>Наименование компании и год создания</t>
  </si>
  <si>
    <t>Существующая деятельность инициатора</t>
  </si>
  <si>
    <t>Реквизиты, адрес, контакты, электронная почта</t>
  </si>
  <si>
    <t>Контакты исполнителя со стороны ЦРИП</t>
  </si>
  <si>
    <t>ФИО, должность</t>
  </si>
  <si>
    <t>С. Абатов</t>
  </si>
  <si>
    <t>Контактный номер, электронная почта</t>
  </si>
  <si>
    <t>99871-252-20-98 (133)</t>
  </si>
  <si>
    <t>Рейтинг готовности проекта (1-5 класс)</t>
  </si>
  <si>
    <t>Рейтинг инициатора проекта (1-5 класс)</t>
  </si>
  <si>
    <t>экв. USD</t>
  </si>
  <si>
    <t>Investments</t>
  </si>
  <si>
    <t>Borrowings</t>
  </si>
  <si>
    <t xml:space="preserve">Calculation NPV-IRR-PI-PP </t>
  </si>
  <si>
    <t>Appendix 2</t>
  </si>
  <si>
    <t>Years</t>
  </si>
  <si>
    <t>Investments implementation plan</t>
  </si>
  <si>
    <t>Yearly revenue if 100% activity</t>
  </si>
  <si>
    <t>Capacity usage</t>
  </si>
  <si>
    <t>Revenue</t>
  </si>
  <si>
    <t>revenue from exports</t>
  </si>
  <si>
    <t>Minimal profitability</t>
  </si>
  <si>
    <t>Cash income (EAIT)</t>
  </si>
  <si>
    <t>Ставка Дисконта</t>
  </si>
  <si>
    <t>PP</t>
  </si>
  <si>
    <t>План освоение инвестиций и кредитов</t>
  </si>
  <si>
    <t>Чистые поток наличности+ налоги</t>
  </si>
  <si>
    <t>NPV econ</t>
  </si>
  <si>
    <t>IRR econ</t>
  </si>
  <si>
    <t>PI econ</t>
  </si>
  <si>
    <t>PP econ</t>
  </si>
  <si>
    <t>$</t>
  </si>
  <si>
    <t>Черновые расчеты</t>
  </si>
  <si>
    <t>Структура себестоимости</t>
  </si>
  <si>
    <t>ед. изм.</t>
  </si>
  <si>
    <t>Объем производства в год</t>
  </si>
  <si>
    <t>Цена за единицу</t>
  </si>
  <si>
    <t>Выручка</t>
  </si>
  <si>
    <t>дм 2</t>
  </si>
  <si>
    <t>Расход сырья при полной мощности</t>
  </si>
  <si>
    <t>Наименование сырья и упаковок</t>
  </si>
  <si>
    <t xml:space="preserve">Объем расхода </t>
  </si>
  <si>
    <t>Общая стоимость</t>
  </si>
  <si>
    <t>Шт.</t>
  </si>
  <si>
    <t>Химикаты для дубления</t>
  </si>
  <si>
    <t>Химикаты для покраски</t>
  </si>
  <si>
    <t>шт</t>
  </si>
  <si>
    <t>тонна</t>
  </si>
  <si>
    <t>Затраты на WORK CAP</t>
  </si>
  <si>
    <t>Расход энергетических ресурсов</t>
  </si>
  <si>
    <t xml:space="preserve">Наименование </t>
  </si>
  <si>
    <t>Электроэнергия</t>
  </si>
  <si>
    <t>Топливо</t>
  </si>
  <si>
    <t>Газ</t>
  </si>
  <si>
    <t>прочее</t>
  </si>
  <si>
    <t>Зарплата</t>
  </si>
  <si>
    <t>колличество</t>
  </si>
  <si>
    <t xml:space="preserve">Оклад/тариф </t>
  </si>
  <si>
    <t>Фонд оплаты труда</t>
  </si>
  <si>
    <t>Основные работники</t>
  </si>
  <si>
    <t>чел</t>
  </si>
  <si>
    <t>Вспом. Работники</t>
  </si>
  <si>
    <t>ИТР  цеха</t>
  </si>
  <si>
    <t>ЕСП 12%</t>
  </si>
  <si>
    <t>Прочие производственные затраты</t>
  </si>
  <si>
    <t>Стоимость</t>
  </si>
  <si>
    <t>Запчасти и расходные материалы</t>
  </si>
  <si>
    <t>Ремонт и обслуживание</t>
  </si>
  <si>
    <t>Ремонт зданий и сооружений</t>
  </si>
  <si>
    <t>Оплата труда менеджмента</t>
  </si>
  <si>
    <t>Страхование и прочее</t>
  </si>
  <si>
    <t>маркетинг затраты</t>
  </si>
  <si>
    <t>Налоги</t>
  </si>
  <si>
    <t xml:space="preserve">Налоги </t>
  </si>
  <si>
    <t>Льготы по налогам</t>
  </si>
  <si>
    <t>Амортизация</t>
  </si>
  <si>
    <t>Здания</t>
  </si>
  <si>
    <t>Оборудование</t>
  </si>
  <si>
    <t>Погашение кредита</t>
  </si>
  <si>
    <t>Основной долг</t>
  </si>
  <si>
    <t>Остаток</t>
  </si>
  <si>
    <t>Технико-экономические параметры 
инвестиционного проекта:</t>
  </si>
  <si>
    <t>Наименование показателя</t>
  </si>
  <si>
    <t>Единица измерения</t>
  </si>
  <si>
    <t>Всего‏</t>
  </si>
  <si>
    <t>Предполагаемые источники финансирования ‎‎</t>
  </si>
  <si>
    <t>собственные средства ‎</t>
  </si>
  <si>
    <t>Кредит и займы</t>
  </si>
  <si>
    <t>Узбекская сторона</t>
  </si>
  <si>
    <t>Иностранная сторона</t>
  </si>
  <si>
    <t>1.‎</t>
  </si>
  <si>
    <t>Предельная стомость проекта</t>
  </si>
  <si>
    <t>тыс. долл. США ‎</t>
  </si>
  <si>
    <t>2.‎</t>
  </si>
  <si>
    <t>Предельная сумма капвложений, всего‎</t>
  </si>
  <si>
    <t>В том числе:</t>
  </si>
  <si>
    <t>‎</t>
  </si>
  <si>
    <t>Прочие фиксированные активы</t>
  </si>
  <si>
    <t>Интелектуальная собственность</t>
  </si>
  <si>
    <t>Финансовые издержки в инвестиционный период‎</t>
  </si>
  <si>
    <t>экв. тыс. долл. США ‎</t>
  </si>
  <si>
    <t>Первоначальный оборотный капитал (запасы сырья)</t>
  </si>
  <si>
    <t>Структура финансирования</t>
  </si>
  <si>
    <t>‎экв. тыс. долл. США ‎</t>
  </si>
  <si>
    <t>‎тыс. долл. США</t>
  </si>
  <si>
    <t>3.‎</t>
  </si>
  <si>
    <t>3.</t>
  </si>
  <si>
    <t xml:space="preserve">Стоимость ед. готовой продукции </t>
  </si>
  <si>
    <t>долл. США ‎/ шт.</t>
  </si>
  <si>
    <t>Валовый доход при полной мощности</t>
  </si>
  <si>
    <t>Себестоимость един. продукции</t>
  </si>
  <si>
    <t>долл. США ‎</t>
  </si>
  <si>
    <t>Окупаемости проекта</t>
  </si>
  <si>
    <t>лет</t>
  </si>
  <si>
    <t>4.</t>
  </si>
  <si>
    <t>Налоги за 10 лет</t>
  </si>
  <si>
    <t>Экспорт за 10 лет</t>
  </si>
  <si>
    <t>Предполагаемое количество занятых‎</t>
  </si>
  <si>
    <t>5.</t>
  </si>
  <si>
    <t>7.‎</t>
  </si>
  <si>
    <t>Продолжительность инвестиционного периода‎</t>
  </si>
  <si>
    <t>мес.</t>
  </si>
  <si>
    <t>поставка обрудования</t>
  </si>
  <si>
    <t>пуско-наладка</t>
  </si>
  <si>
    <t>строительтво</t>
  </si>
  <si>
    <t>8.</t>
  </si>
  <si>
    <t xml:space="preserve">Порядок оплаты контракта оборудования </t>
  </si>
  <si>
    <t>экв. долл. США ‎</t>
  </si>
  <si>
    <t>аванс</t>
  </si>
  <si>
    <t>через 3 мес.</t>
  </si>
  <si>
    <t>через 6 мес.</t>
  </si>
  <si>
    <t>9.</t>
  </si>
  <si>
    <t>После пуска</t>
  </si>
  <si>
    <t>10.</t>
  </si>
  <si>
    <t>После надлежащего исполнения контракта</t>
  </si>
  <si>
    <t xml:space="preserve">АНАЛИЗ БАЛАНСА ПРЕДПРИЯТИЯ: </t>
  </si>
  <si>
    <t>наименование предприятия</t>
  </si>
  <si>
    <t>БУХГАЛТЕРСКИЙ БАЛАНС (форма №1)</t>
  </si>
  <si>
    <t>период, дней</t>
  </si>
  <si>
    <t xml:space="preserve">        АКТИВ</t>
  </si>
  <si>
    <t>Код строки</t>
  </si>
  <si>
    <t>На 1.01.2019г.</t>
  </si>
  <si>
    <t>На 1.01.2020г.</t>
  </si>
  <si>
    <t>На 1.01.2021г.</t>
  </si>
  <si>
    <t>Долгосрочные активы</t>
  </si>
  <si>
    <t xml:space="preserve"> Основные средства:</t>
  </si>
  <si>
    <t>по первоначальной (восстановительной) стоимости (01,03)</t>
  </si>
  <si>
    <t>010</t>
  </si>
  <si>
    <t>износ (02)</t>
  </si>
  <si>
    <t>011</t>
  </si>
  <si>
    <r>
      <t>остаточная стоимость</t>
    </r>
    <r>
      <rPr>
        <sz val="11"/>
        <rFont val="Arial Cyr"/>
        <family val="2"/>
        <charset val="204"/>
      </rPr>
      <t xml:space="preserve"> 010-011</t>
    </r>
  </si>
  <si>
    <t>012</t>
  </si>
  <si>
    <t>Нематериальные активы:</t>
  </si>
  <si>
    <t>по первоначальной стоимости</t>
  </si>
  <si>
    <t>020</t>
  </si>
  <si>
    <t>износ</t>
  </si>
  <si>
    <t>021</t>
  </si>
  <si>
    <r>
      <t>по остаточной стоимости</t>
    </r>
    <r>
      <rPr>
        <sz val="11"/>
        <rFont val="Arial Cyr"/>
        <family val="2"/>
        <charset val="204"/>
      </rPr>
      <t xml:space="preserve"> 020-021</t>
    </r>
  </si>
  <si>
    <t>022</t>
  </si>
  <si>
    <t>Капитальные вложения (07,08)</t>
  </si>
  <si>
    <t>030</t>
  </si>
  <si>
    <t>Акции в дочерних предприятиях (06)</t>
  </si>
  <si>
    <t>040</t>
  </si>
  <si>
    <t>Займы предоставленные дочерними предприятиями (06)</t>
  </si>
  <si>
    <t>050</t>
  </si>
  <si>
    <t>Акции в ассоциированных предприятиях (06)</t>
  </si>
  <si>
    <t>060</t>
  </si>
  <si>
    <t>Займы ассоциированным предприятиям (06)</t>
  </si>
  <si>
    <t>070</t>
  </si>
  <si>
    <t>Долгосрочные инвестиции (06)</t>
  </si>
  <si>
    <t>080</t>
  </si>
  <si>
    <t>Прочие займы (06)</t>
  </si>
  <si>
    <t>090</t>
  </si>
  <si>
    <t>Прочие активы</t>
  </si>
  <si>
    <t>100</t>
  </si>
  <si>
    <t xml:space="preserve">ИТОГО ПО РАЗДЕЛУ I                                                                (012 +020+030+040+050+060+070+080+090+100) </t>
  </si>
  <si>
    <t>110</t>
  </si>
  <si>
    <t>Оборотные активы</t>
  </si>
  <si>
    <t>Производственные запасы (10,11,12,13,15,16)</t>
  </si>
  <si>
    <t>120</t>
  </si>
  <si>
    <t>Незавершенное производство (20,21,23,29)</t>
  </si>
  <si>
    <t>130</t>
  </si>
  <si>
    <t>Готовая продукция (40)</t>
  </si>
  <si>
    <t>140</t>
  </si>
  <si>
    <t>Товары для перепродажи (41-42)</t>
  </si>
  <si>
    <t>150</t>
  </si>
  <si>
    <t>Расходы будущих периодов (31)</t>
  </si>
  <si>
    <t>160</t>
  </si>
  <si>
    <t>Денежные средства (51,55,56,57)</t>
  </si>
  <si>
    <t>170</t>
  </si>
  <si>
    <t>Валютные средства (50,52,55,56,57)</t>
  </si>
  <si>
    <t>180</t>
  </si>
  <si>
    <t>Денежные средства в кассе (50)</t>
  </si>
  <si>
    <t>190</t>
  </si>
  <si>
    <t>Краткосрочные вложения (58)</t>
  </si>
  <si>
    <t>200</t>
  </si>
  <si>
    <t>Собственные акции выкупленные (56)</t>
  </si>
  <si>
    <t>210</t>
  </si>
  <si>
    <t>Дебиторы:</t>
  </si>
  <si>
    <t>-расчеты с покупателями и заказчиками (09,45,62-82)</t>
  </si>
  <si>
    <t>220</t>
  </si>
  <si>
    <t>-авансовые платежи (61)</t>
  </si>
  <si>
    <t>230</t>
  </si>
  <si>
    <t>-расчеты с бюджетом (68,19)</t>
  </si>
  <si>
    <t>240</t>
  </si>
  <si>
    <t>-расчеты с персоналом (73)</t>
  </si>
  <si>
    <t>250</t>
  </si>
  <si>
    <t>-расчеты с дочерними предприятиями (78)</t>
  </si>
  <si>
    <t>260</t>
  </si>
  <si>
    <t>-расчеты с ассоциированными предприятиями (79)</t>
  </si>
  <si>
    <t>270</t>
  </si>
  <si>
    <t>-расчеты с учредителями (75)</t>
  </si>
  <si>
    <t>280</t>
  </si>
  <si>
    <t>-прочие дебиторы (63,71,76)</t>
  </si>
  <si>
    <t>290</t>
  </si>
  <si>
    <t>ИТОГО ПО РАЗДЕЛУ II  (120+130+140+150+160+170+180+190+200+210+220+230+240+250+260+270+280+290)</t>
  </si>
  <si>
    <t>300</t>
  </si>
  <si>
    <t>ВСЕГО ПО АКТИВУ БАЛАНСА  110 + 300</t>
  </si>
  <si>
    <t>310</t>
  </si>
  <si>
    <t>ПАССИВ</t>
  </si>
  <si>
    <t>Источники собственных средств</t>
  </si>
  <si>
    <t>Уставный капитал  (85/1)</t>
  </si>
  <si>
    <t>320</t>
  </si>
  <si>
    <t>Добавленный капитал  (85/2)</t>
  </si>
  <si>
    <t>330</t>
  </si>
  <si>
    <t>Резервный капитал (85/3)</t>
  </si>
  <si>
    <t>340</t>
  </si>
  <si>
    <t>Нераспределенная прибыль (непокрытый убыток) (87)</t>
  </si>
  <si>
    <t>350</t>
  </si>
  <si>
    <t>Целевые поступления и фонды (96,88)</t>
  </si>
  <si>
    <t>360</t>
  </si>
  <si>
    <t>Резервы предстоящих расходов и платежей (89)</t>
  </si>
  <si>
    <t>370</t>
  </si>
  <si>
    <t>Доходы будущих периодов (83)</t>
  </si>
  <si>
    <t>380</t>
  </si>
  <si>
    <t>ИТОГО по I разделу (320+330+340+350+360+370+380)</t>
  </si>
  <si>
    <t>390</t>
  </si>
  <si>
    <t>Обязательства</t>
  </si>
  <si>
    <t>Долгосрочные займы (95)</t>
  </si>
  <si>
    <t>400</t>
  </si>
  <si>
    <t>Долгосрочные кредиты (92)</t>
  </si>
  <si>
    <t>410</t>
  </si>
  <si>
    <t>Краткосрочные займы (93, 94, 97)</t>
  </si>
  <si>
    <t>420</t>
  </si>
  <si>
    <t>Краткосрочные кредиты (90)</t>
  </si>
  <si>
    <t>430</t>
  </si>
  <si>
    <t>Авансы полученные (поступившие на счета) от покупателей и заказчиков (64)</t>
  </si>
  <si>
    <t>440</t>
  </si>
  <si>
    <t>Кредиторы:</t>
  </si>
  <si>
    <t>- поставщики (60)</t>
  </si>
  <si>
    <t>450</t>
  </si>
  <si>
    <t>- задолженность по бюджету (68)</t>
  </si>
  <si>
    <t>460</t>
  </si>
  <si>
    <t>- задолженность по оплате труда (70/1, 70/2)</t>
  </si>
  <si>
    <t>470</t>
  </si>
  <si>
    <t>- задолженность по социальному страхованию и обеспечению (69)</t>
  </si>
  <si>
    <t>480</t>
  </si>
  <si>
    <t>- задолженность по имущественному и личному страхованию (65)</t>
  </si>
  <si>
    <t>- задолженность по внебюджетным платежам (67)</t>
  </si>
  <si>
    <t>- задолженность дочерним предприятиям (78)</t>
  </si>
  <si>
    <t>- задолженность ассоциированным предприятиям (78)</t>
  </si>
  <si>
    <t>- прочие кредиторы (75/1, 71/2, 73, 76/1, 79)</t>
  </si>
  <si>
    <t>ИТОГО по II разделу   (400+410+420+430+440+450+460+470+480+490+500+510+520+530)</t>
  </si>
  <si>
    <t>ВСЕГО ПО ПАССИВУ БАЛАНСА    (390 + 540)</t>
  </si>
  <si>
    <t xml:space="preserve">КОНТРОЛЬНАЯ ЛИНИЯ </t>
  </si>
  <si>
    <t>ОТЧЕТ О ЗАТРАТАХ ПРЕДПРИЯТИЯ (форма №5-с)</t>
  </si>
  <si>
    <t>Производственная себестоимость произведенной продукции</t>
  </si>
  <si>
    <t>013</t>
  </si>
  <si>
    <t>ОТЧЕТ О ФИНАНСОВЫХ РЕЗУЛЬТАТАХ (форма № 2)</t>
  </si>
  <si>
    <t>Доходы</t>
  </si>
  <si>
    <t>Расходы</t>
  </si>
  <si>
    <t>Выручка от реализации продукции (работ, услуг)</t>
  </si>
  <si>
    <t>x</t>
  </si>
  <si>
    <t xml:space="preserve">Налог на добавленную стоимость </t>
  </si>
  <si>
    <t>Акцизы</t>
  </si>
  <si>
    <r>
      <t>Чистая выручка от реализации</t>
    </r>
    <r>
      <rPr>
        <sz val="11"/>
        <rFont val="Arial Cyr"/>
        <family val="2"/>
        <charset val="204"/>
      </rPr>
      <t xml:space="preserve"> 010-021-030-040</t>
    </r>
  </si>
  <si>
    <t>Производственная себестоимость реализованной продукции, товаров, работ, услуг</t>
  </si>
  <si>
    <r>
      <t xml:space="preserve">Валовый финансовый результат от реализации </t>
    </r>
    <r>
      <rPr>
        <sz val="11"/>
        <rFont val="Arial Cyr"/>
        <family val="2"/>
        <charset val="204"/>
      </rPr>
      <t>050-060</t>
    </r>
  </si>
  <si>
    <t>Административные расходы</t>
  </si>
  <si>
    <t>Прочие оперативные расходы и доходы от основной деятельности</t>
  </si>
  <si>
    <t>Финансовый результат (прибыль или убыток) от основной производственной деятельности 070-080-100</t>
  </si>
  <si>
    <t>Дивиденды, полученные от дочерних и ассоциированных предприятий</t>
  </si>
  <si>
    <t>Прочие дивиденды полученные</t>
  </si>
  <si>
    <t>Проценты по займам, полученным и выданным дочерним и ассоциированным предприятиям</t>
  </si>
  <si>
    <t>Прочие проценты уплаченные и полученные</t>
  </si>
  <si>
    <t>Курсовые валютные разницы</t>
  </si>
  <si>
    <t>Прочие расходы по финансовой деятельности</t>
  </si>
  <si>
    <r>
      <t>Финансовый результат (прибыль или убыток) от общехозяйственной деятельности</t>
    </r>
    <r>
      <rPr>
        <sz val="11"/>
        <rFont val="Arial Cyr"/>
        <family val="2"/>
        <charset val="204"/>
      </rPr>
      <t xml:space="preserve"> 110+120+125+130+135+140+145</t>
    </r>
  </si>
  <si>
    <t>Чрезвычайные прибыли и убытки</t>
  </si>
  <si>
    <r>
      <t>Общий финансовый результат (прибыли или убыток) до уплаты налога на прибыль</t>
    </r>
    <r>
      <rPr>
        <sz val="11"/>
        <rFont val="Arial Cyr"/>
        <family val="2"/>
        <charset val="204"/>
      </rPr>
      <t xml:space="preserve"> 150-160</t>
    </r>
  </si>
  <si>
    <t>Налог на прибыль (доход)</t>
  </si>
  <si>
    <t>Прочие налоги и отчисления, не входящие в вышеперечисленные статьи</t>
  </si>
  <si>
    <r>
      <t>Чистая прибыль (убыток) отчетного периода</t>
    </r>
    <r>
      <rPr>
        <sz val="11"/>
        <rFont val="Arial Cyr"/>
        <family val="2"/>
        <charset val="204"/>
      </rPr>
      <t xml:space="preserve"> 170-180-190</t>
    </r>
  </si>
  <si>
    <t xml:space="preserve">Финансовые показатели   </t>
  </si>
  <si>
    <t>Объем выручки (без НДС)</t>
  </si>
  <si>
    <t>Динамика роста объема выручки (по отношению к предыдущему периоду)</t>
  </si>
  <si>
    <t>Валютный счет (экв. в сумах)</t>
  </si>
  <si>
    <t>Денежные средства</t>
  </si>
  <si>
    <t>Себестоимость реализованной   продукции</t>
  </si>
  <si>
    <t>Административные затраты</t>
  </si>
  <si>
    <t>Доля административных затрат в выручке</t>
  </si>
  <si>
    <t>Чистая прибыль</t>
  </si>
  <si>
    <t>Динамика роста чистой прибыли (по отношению к предыдущему периоду)</t>
  </si>
  <si>
    <t>Коэффициент чистой прибыльности</t>
  </si>
  <si>
    <t>Оборачиваемость дебиторской задолженности (в днях)</t>
  </si>
  <si>
    <t>Оборачиваемость кредиторской задолженности (в днях)</t>
  </si>
  <si>
    <t>Оборачиваемость производственных запасов (в днях)</t>
  </si>
  <si>
    <t>Оборачиваемость готовой продукции (в днях)</t>
  </si>
  <si>
    <t>Коэффициент покрытия</t>
  </si>
  <si>
    <t>Кпл</t>
  </si>
  <si>
    <t>Соотношение собственных средств к краткосрочным заемным средствам</t>
  </si>
  <si>
    <t>Ксс</t>
  </si>
  <si>
    <t>Коэффициент обеспеченности собственными средствами</t>
  </si>
  <si>
    <t>Кос</t>
  </si>
  <si>
    <t>Коэффициент автономии (финансовой независимости)</t>
  </si>
  <si>
    <t>Ка</t>
  </si>
  <si>
    <t>Коэффициент ликвидности</t>
  </si>
  <si>
    <t>Кл</t>
  </si>
  <si>
    <t>Коэффициент рентабельности активов</t>
  </si>
  <si>
    <t>Кра</t>
  </si>
  <si>
    <t>Рейтинг коэффициента покрытия КП</t>
  </si>
  <si>
    <t xml:space="preserve">I  </t>
  </si>
  <si>
    <t xml:space="preserve">II  </t>
  </si>
  <si>
    <t xml:space="preserve">III  </t>
  </si>
  <si>
    <t xml:space="preserve">IV  </t>
  </si>
  <si>
    <t>Рейтинг коэффициента ликвидности КЛ</t>
  </si>
  <si>
    <t>Рейтинг коэффициента автономии КА</t>
  </si>
  <si>
    <t>Класс кредитоспособности</t>
  </si>
  <si>
    <t>Оценка состоятельности предприятия</t>
  </si>
  <si>
    <t>Оборачиваемость оборотных активов (в днях)</t>
  </si>
  <si>
    <t>Норматив оборотных активов (в днях)</t>
  </si>
  <si>
    <t>Состояние собственных средств</t>
  </si>
  <si>
    <t>Долгосрочные кредиты и займы</t>
  </si>
  <si>
    <t>Собственные источники формирования долгосрочных активов</t>
  </si>
  <si>
    <t>Состояние оборотных средств</t>
  </si>
  <si>
    <t>Оборотные средства</t>
  </si>
  <si>
    <t>Собственные источники формирования оборотных средств</t>
  </si>
  <si>
    <t>в том числе дебиторская задолженность</t>
  </si>
  <si>
    <t>Заемные источники формирования оборотных средств</t>
  </si>
  <si>
    <t>в том числе кредиторская задолженность</t>
  </si>
  <si>
    <t>Норматив оборотных средств в сумах</t>
  </si>
  <si>
    <t>Излишек (недостаток) оборотных средств</t>
  </si>
  <si>
    <t>Оборачиваемость оборотных активов</t>
  </si>
  <si>
    <t>Средние остатки материальных оборотных средств</t>
  </si>
  <si>
    <t xml:space="preserve">Коэффициент оборачиваемости материальных активов </t>
  </si>
  <si>
    <t>Продолжительность оборота материальных активов (в днях)</t>
  </si>
  <si>
    <t>Структура оборотных активов</t>
  </si>
  <si>
    <t>Оборотные активы - всего</t>
  </si>
  <si>
    <t>Материальные оборотные средства</t>
  </si>
  <si>
    <t>производственные запасы</t>
  </si>
  <si>
    <t>незавершенное производство</t>
  </si>
  <si>
    <t>готовая продукция (в т.ч. сверхнормативные)</t>
  </si>
  <si>
    <t>товары для перепродажи</t>
  </si>
  <si>
    <t>Дебиторы</t>
  </si>
  <si>
    <t>Прочие</t>
  </si>
  <si>
    <t>Источники формирования имущества</t>
  </si>
  <si>
    <t>за счет собственных средств</t>
  </si>
  <si>
    <t>за счет заемных средств</t>
  </si>
  <si>
    <t>Имущество предприятия</t>
  </si>
  <si>
    <t>Наличие собственных оборотных средств</t>
  </si>
  <si>
    <t>Коэффициент оборачиваемости всех оборотных активов</t>
  </si>
  <si>
    <t>Preliminary project cost</t>
  </si>
  <si>
    <t>Производство синтетической подкладочной и плащевой ткани</t>
  </si>
  <si>
    <t>г. Наманган</t>
  </si>
  <si>
    <t>Плащевая ткань</t>
  </si>
  <si>
    <t>Проектная мощность, млн. шт</t>
  </si>
  <si>
    <t>В целях консервативного подхода в расчетах учтенқ все налоги</t>
  </si>
  <si>
    <t>Китай</t>
  </si>
  <si>
    <t>3-5 месяцев</t>
  </si>
  <si>
    <t>Трансформатор, электрокара и  др.</t>
  </si>
  <si>
    <t>Эл. Энергия, КВт</t>
  </si>
  <si>
    <t>Вода, куб.м.</t>
  </si>
  <si>
    <t>Природный газ, куб.м.</t>
  </si>
  <si>
    <t>Другое топливо, тонн</t>
  </si>
  <si>
    <t>нет</t>
  </si>
  <si>
    <t>Будет уточнено</t>
  </si>
  <si>
    <t>Будет уточнено(Will be clarified)</t>
  </si>
  <si>
    <t>Класс 3</t>
  </si>
  <si>
    <t>Сырье и материалы</t>
  </si>
  <si>
    <t>Project</t>
  </si>
  <si>
    <t>Name of local initiator</t>
  </si>
  <si>
    <t xml:space="preserve">Location </t>
  </si>
  <si>
    <t>Termez</t>
  </si>
  <si>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</si>
  <si>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</si>
  <si>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</si>
  <si>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</si>
  <si>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</si>
  <si>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</si>
  <si>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</si>
  <si>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</si>
  <si>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</si>
  <si>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</si>
  <si>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</si>
  <si>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</si>
  <si>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</si>
  <si>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</si>
  <si>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</si>
  <si>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</si>
  <si>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</si>
  <si>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</si>
  <si>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</si>
  <si>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</si>
  <si>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</si>
  <si>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</si>
  <si>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</si>
  <si>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</si>
  <si>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</si>
  <si>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</si>
  <si>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Project capacity</t>
  </si>
  <si>
    <t>sq.m.</t>
  </si>
  <si>
    <t>Проектная мощность</t>
  </si>
  <si>
    <t>Total investment</t>
  </si>
  <si>
    <t>Total xxx</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</si>
  <si>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</si>
  <si>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</si>
  <si>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</si>
  <si>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</si>
  <si>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</si>
  <si>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</si>
  <si>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</si>
  <si>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</si>
  <si>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</si>
  <si>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</si>
  <si>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</si>
  <si>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</si>
  <si>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</si>
  <si>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</si>
  <si>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(НЕТ)</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</si>
  <si>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</si>
  <si>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</si>
  <si>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</si>
  <si>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</si>
  <si>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</si>
  <si>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</si>
  <si>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</si>
  <si>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</si>
  <si>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</si>
  <si>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</si>
  <si>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</si>
  <si>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</si>
  <si>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</si>
  <si>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</si>
  <si>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</si>
  <si>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</si>
  <si>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</si>
  <si>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</si>
  <si>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</si>
  <si>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If not, then the plans for creation</t>
  </si>
  <si>
    <t>The project management team will be created together with the project investors</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</si>
  <si>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</si>
  <si>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</si>
  <si>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</si>
  <si>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</si>
  <si>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</si>
  <si>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</si>
  <si>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</si>
  <si>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</si>
  <si>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</si>
  <si>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</si>
  <si>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</si>
  <si>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</si>
  <si>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</si>
  <si>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</si>
  <si>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</si>
  <si>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</si>
  <si>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</si>
  <si>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</si>
  <si>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</si>
  <si>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</si>
  <si>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</si>
  <si>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</si>
  <si>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</si>
  <si>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</si>
  <si>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</si>
  <si>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</si>
  <si>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</si>
  <si>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</si>
  <si>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</si>
  <si>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</si>
  <si>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</si>
  <si>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</si>
  <si>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</si>
  <si>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</si>
  <si>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</si>
  <si>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</si>
  <si>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</si>
  <si>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</si>
  <si>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</si>
  <si>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</si>
  <si>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</si>
  <si>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</si>
  <si>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</si>
  <si>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</si>
  <si>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</si>
  <si>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</si>
  <si>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</si>
  <si>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</si>
  <si>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</si>
  <si>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</si>
  <si>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</si>
  <si>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</si>
  <si>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</si>
  <si>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</si>
  <si>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</si>
  <si>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</si>
  <si>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</si>
  <si>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</si>
  <si>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</si>
  <si>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</si>
  <si>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</si>
  <si>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</si>
  <si>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</si>
  <si>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</si>
  <si>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</si>
  <si>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</si>
  <si>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</si>
  <si>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</si>
  <si>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</si>
  <si>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</si>
  <si>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</si>
  <si>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</si>
  <si>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</si>
  <si>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</si>
  <si>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</si>
  <si>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</si>
  <si>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</si>
  <si>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</si>
  <si>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</si>
  <si>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</si>
  <si>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</si>
  <si>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</si>
  <si>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</si>
  <si>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</si>
  <si>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</si>
  <si>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</si>
  <si>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</si>
  <si>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</si>
  <si>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</si>
  <si>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</si>
  <si>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</si>
  <si>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</si>
  <si>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</si>
  <si>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</si>
  <si>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</si>
  <si>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</si>
  <si>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</si>
  <si>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</si>
  <si>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</si>
  <si>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</si>
  <si>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</si>
  <si>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</si>
  <si>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Свободная экономическая зона</t>
  </si>
  <si>
    <t>кв.м.</t>
  </si>
  <si>
    <t>Создано</t>
  </si>
  <si>
    <t>Если нет, то планы создания</t>
  </si>
  <si>
    <t>если нет, то планы их обучения и т. д.?</t>
  </si>
  <si>
    <t>Если нет, что нужно?</t>
  </si>
  <si>
    <t>Contact of local partner 
(project initiator)</t>
  </si>
  <si>
    <t>Привлечение кредита, $</t>
  </si>
  <si>
    <t>Production of orthopedic mattresses</t>
  </si>
  <si>
    <t>Consumer goods for the population, furniture industry</t>
  </si>
  <si>
    <t>FEZ "Termez", Surkhan-Darya region</t>
  </si>
  <si>
    <t>Производство ортопедических матрасов</t>
  </si>
  <si>
    <t>Создание собственного производства ортопедических матрасов в широком ассортименте в целях импортозамещения и экспорта продукции</t>
  </si>
  <si>
    <t>Легкая промышленность</t>
  </si>
  <si>
    <t>СЭЗ "Термез", Сурхандарьинская область</t>
  </si>
  <si>
    <t xml:space="preserve">Продукция имеет достаточный спрос, 
Привлечение новой передовой технологии, 
Подержка государства по льготам СЭЗ и др.  </t>
  </si>
  <si>
    <t>Требуется квалифицированный персонал, 
Отсутствие дизайнеров и технических инженеров и др.</t>
  </si>
  <si>
    <t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t>
  </si>
  <si>
    <t>Частичная импортная зависимость, 
Наличие конкурентов импортеров продукции высокого качества</t>
  </si>
  <si>
    <t>ИТОГО/ TOTAL</t>
  </si>
  <si>
    <t>1 год/1st year</t>
  </si>
  <si>
    <t>5 год/5th year</t>
  </si>
  <si>
    <t>9 год/9th year</t>
  </si>
  <si>
    <t>2 год/ 2nd year</t>
  </si>
  <si>
    <t>3 год/ 3rd year</t>
  </si>
  <si>
    <t>4 год/ 4th year</t>
  </si>
  <si>
    <t>7 год/ 7th year</t>
  </si>
  <si>
    <t>8 год/ 8th year</t>
  </si>
  <si>
    <t>10 год/ 10th year</t>
  </si>
  <si>
    <t>Всего продаж/Total sales</t>
  </si>
  <si>
    <t>Инвестиционный период/Investment period</t>
  </si>
  <si>
    <t>ПОТОК НАЛИЧНОСТИ/CASH FLOW</t>
  </si>
  <si>
    <t xml:space="preserve">6 год/6th year </t>
  </si>
  <si>
    <t>Changes in Working capital</t>
  </si>
  <si>
    <t>Изменения в Рабочем капитале/ the Working Order</t>
  </si>
  <si>
    <t>Наличность от продаж/Cash from sales</t>
  </si>
  <si>
    <t xml:space="preserve"> продукции без учета амортизационных отчислений/products excluding depreciation and amortisation</t>
  </si>
  <si>
    <t>Валовые поступления наличности/Gross cash receipts</t>
  </si>
  <si>
    <t>Оперативная наличность/Operational cash</t>
  </si>
  <si>
    <t>Доход (A) EBIT/Income (A) EBIT</t>
  </si>
  <si>
    <t>Акционерный капитал/Share capital</t>
  </si>
  <si>
    <t>Инвестиции в осн. Капитал/ Investments in fixed Assets</t>
  </si>
  <si>
    <t>Выплата процентов (B)/Interest payment (B)</t>
  </si>
  <si>
    <t>Прочие затраты (С2)/Other costs (C2)</t>
  </si>
  <si>
    <t>Финансовые издержки (С)/Financial costs ©</t>
  </si>
  <si>
    <t xml:space="preserve">   в том числе налоги/including taxes</t>
  </si>
  <si>
    <t>Поступления наличности (EAIT)/Cash Receipts (EAIT)</t>
  </si>
  <si>
    <t xml:space="preserve">    Погашение основного долга (D)/Repayment of principal (D)</t>
  </si>
  <si>
    <t>Наличность после выплаты основного долга/Cash after principal payment</t>
  </si>
  <si>
    <t>Финансовые потребности/Financial requirements</t>
  </si>
  <si>
    <t>Поток наличности/Cash flow</t>
  </si>
  <si>
    <t>Финансовые издержки /Financial costs</t>
  </si>
  <si>
    <t>Кумулятивный поток наличности/Cumulative cash flow</t>
  </si>
  <si>
    <t>Коэффициент обслуживания долга [(A-C1-С2)/(B+D)]/Debt service ratio [(A-C1-C2)/(B+D)]</t>
  </si>
  <si>
    <t>Внутренняя норма доходности (IRR), %</t>
  </si>
  <si>
    <t>Индекс доходности инвестиций (PI)</t>
  </si>
  <si>
    <t>Экономичность и энергоэффективность технологии.
Экологичность  технологии.
Наличие собственной сырьевой базы для производства продукции.</t>
  </si>
  <si>
    <t>Возможности внедрения инновационных технологий 
Возможности расширения ассортимента продукции
Использование отходов (бой изделий) производства в качестве сырья</t>
  </si>
  <si>
    <t>Высокие транспортные расходы перевозки материала. Себестоимость продукции зависит от качества сырья месторождения</t>
  </si>
  <si>
    <t>Производство тканей</t>
  </si>
  <si>
    <t>Ташкентская область, Ахангаранский район</t>
  </si>
  <si>
    <t>Fabric production</t>
  </si>
  <si>
    <t>Light industry</t>
  </si>
  <si>
    <t>Tashkent region, Akhangaran district</t>
  </si>
  <si>
    <t>Cost-effectiveness and energy efficiency of the technology.
Environmental friendliness of the technology.
The availability of its own raw material base for the production of products.</t>
  </si>
  <si>
    <t>High transport costs of material transportation. The cost of production depends on the quality of the field's raw materials</t>
  </si>
  <si>
    <t>Opportunities for the introduction of innovative technologies 
Opportunities to expand the product range
The use of waste (combat products) of production as raw materials</t>
  </si>
  <si>
    <t>кв.м</t>
  </si>
  <si>
    <t xml:space="preserve">Проект высокоэнергоемкий и есть риски обеспечением газом и другими энергетическими ресурсами
Наличие на рынке аналагичной продукции
</t>
  </si>
  <si>
    <t>E.Nematjonov</t>
  </si>
  <si>
    <t>square meter</t>
  </si>
  <si>
    <t xml:space="preserve">The project is highly energy intensive and there are risks of providing gas and other energy resources
Availability of similar products on the market
</t>
  </si>
  <si>
    <t>Sh.Butayev</t>
  </si>
  <si>
    <t xml:space="preserve">998917800506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</si>
</sst>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
    <numFmt numFmtId="166" formatCode="#,##0.00_ ;[Red]\-#,##0.00\ "/>
    <numFmt numFmtId="167" formatCode="#,##0.00;[Red]\(#,##0.00\)"/>
    <numFmt numFmtId="168" formatCode="#,##0;[Red]\(#,##0\)"/>
    <numFmt numFmtId="169" formatCode="#,##0.0;[Red]\(#,##0.0\)"/>
    <numFmt numFmtId="170" formatCode="#,##0.000;[Red]\(#,##0.000\)"/>
    <numFmt numFmtId="171" formatCode="_-* #,##0.0_-;\-* #,##0.0_-;_-* &quot;-&quot;_-;_-@_-"/>
    <numFmt numFmtId="172" formatCode="[$$-409]#,##0"/>
    <numFmt numFmtId="173" formatCode="#,##0.0;[Red]\-#,##0.0"/>
    <numFmt numFmtId="174" formatCode="#,##0.00\ _₽;[Red]\-#,##0.00\ _₽"/>
    <numFmt numFmtId="175" formatCode="#,##0\ _с_ў_м;[Red]\-#,##0\ _с_ў_м"/>
    <numFmt numFmtId="176" formatCode="#,##0.0\ _с_ў_м;[Red]\-#,##0.0\ _с_ў_м"/>
  </numFmts>
  <fonts count="121">
    <font>
      <sz val="10"/>
      <name val="MS Sans Serif"/>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MS Sans Serif"/>
    </font>
    <font>
      <sz val="14"/>
      <name val="Arial Cyr"/>
      <family val="2"/>
      <charset val="204"/>
    </font>
    <font>
      <sz val="12"/>
      <name val="Arial Cyr"/>
      <family val="2"/>
      <charset val="204"/>
    </font>
    <font>
      <b/>
      <sz val="14"/>
      <name val="Arial Cyr"/>
      <family val="2"/>
      <charset val="204"/>
    </font>
    <font>
      <sz val="10"/>
      <name val="MS Sans Serif"/>
      <family val="2"/>
      <charset val="204"/>
    </font>
    <font>
      <b/>
      <sz val="16"/>
      <name val="Arial Cyr"/>
      <family val="2"/>
      <charset val="204"/>
    </font>
    <font>
      <sz val="10"/>
      <name val="Arial Cyr"/>
      <family val="2"/>
      <charset val="204"/>
    </font>
    <font>
      <b/>
      <sz val="12"/>
      <name val="Arial Cyr"/>
      <family val="2"/>
      <charset val="204"/>
    </font>
    <font>
      <b/>
      <sz val="12"/>
      <name val="Arial Cyr"/>
      <charset val="204"/>
    </font>
    <font>
      <sz val="11"/>
      <name val="Arial Cyr"/>
      <family val="2"/>
      <charset val="204"/>
    </font>
    <font>
      <b/>
      <sz val="10"/>
      <name val="Arial Cyr"/>
      <family val="2"/>
      <charset val="204"/>
    </font>
    <font>
      <sz val="9"/>
      <name val="Arial Cyr"/>
      <family val="2"/>
      <charset val="204"/>
    </font>
    <font>
      <sz val="8"/>
      <color indexed="81"/>
      <name val="Tahoma"/>
      <family val="2"/>
      <charset val="204"/>
    </font>
    <font>
      <b/>
      <sz val="13.5"/>
      <name val="MS Sans Serif"/>
      <family val="2"/>
      <charset val="204"/>
    </font>
    <font>
      <b/>
      <sz val="11"/>
      <name val="Arial CYR"/>
      <family val="2"/>
      <charset val="204"/>
    </font>
    <font>
      <sz val="12"/>
      <color indexed="10"/>
      <name val="Arial Cyr"/>
      <family val="2"/>
      <charset val="204"/>
    </font>
    <font>
      <b/>
      <sz val="14"/>
      <name val="Arial Cyr"/>
      <charset val="186"/>
    </font>
    <font>
      <b/>
      <sz val="12"/>
      <name val="Arial Cyr"/>
      <charset val="186"/>
    </font>
    <font>
      <sz val="12"/>
      <color indexed="57"/>
      <name val="Arial Cyr"/>
      <family val="2"/>
      <charset val="204"/>
    </font>
    <font>
      <b/>
      <i/>
      <sz val="12"/>
      <name val="Arial Cyr"/>
      <family val="2"/>
      <charset val="204"/>
    </font>
    <font>
      <sz val="14"/>
      <name val="Arial"/>
      <family val="2"/>
      <charset val="204"/>
    </font>
    <font>
      <u/>
      <sz val="10"/>
      <color indexed="12"/>
      <name val="MS Sans Serif"/>
      <family val="2"/>
      <charset val="204"/>
    </font>
    <font>
      <sz val="18"/>
      <color theme="1"/>
      <name val="Calibri"/>
      <family val="2"/>
      <charset val="204"/>
      <scheme val="minor"/>
    </font>
    <font>
      <b/>
      <i/>
      <sz val="18"/>
      <color theme="1"/>
      <name val="Algerian"/>
      <family val="5"/>
    </font>
    <font>
      <b/>
      <sz val="12"/>
      <color rgb="FF000000"/>
      <name val="Times New Roman"/>
      <family val="1"/>
      <charset val="204"/>
    </font>
    <font>
      <sz val="12"/>
      <color rgb="FF000000"/>
      <name val="Times New Roman"/>
      <family val="1"/>
      <charset val="204"/>
    </font>
    <font>
      <sz val="10"/>
      <color rgb="FF000000"/>
      <name val="Times New Roman"/>
      <family val="1"/>
      <charset val="204"/>
    </font>
    <font>
      <sz val="11"/>
      <name val="Arial"/>
      <family val="2"/>
      <charset val="204"/>
    </font>
    <font>
      <sz val="10"/>
      <name val="Kudriashov"/>
    </font>
    <font>
      <b/>
      <sz val="10"/>
      <name val="Kudriashov"/>
      <charset val="204"/>
    </font>
    <font>
      <b/>
      <sz val="16"/>
      <name val="Kudriashov"/>
    </font>
    <font>
      <sz val="16"/>
      <name val="Kudriashov"/>
    </font>
    <font>
      <sz val="12"/>
      <name val="Kudriashov"/>
    </font>
    <font>
      <sz val="22"/>
      <name val="Kudriashov"/>
    </font>
    <font>
      <sz val="8"/>
      <name val="Kudriashov"/>
    </font>
    <font>
      <sz val="10"/>
      <color theme="9" tint="-0.249977111117893"/>
      <name val="Kudriashov"/>
    </font>
    <font>
      <sz val="10"/>
      <color theme="9" tint="-0.249977111117893"/>
      <name val="Kudriashov"/>
      <charset val="204"/>
    </font>
    <font>
      <sz val="10"/>
      <name val="Kudriashov"/>
      <charset val="204"/>
    </font>
    <font>
      <sz val="12"/>
      <color theme="9" tint="-0.249977111117893"/>
      <name val="Kudriashov"/>
    </font>
    <font>
      <sz val="14"/>
      <name val="Kudriashov"/>
    </font>
    <font>
      <sz val="10"/>
      <color rgb="FFFF0000"/>
      <name val="Kudriashov"/>
    </font>
    <font>
      <sz val="13.5"/>
      <name val="MS Sans Serif"/>
      <family val="2"/>
      <charset val="204"/>
    </font>
    <font>
      <b/>
      <sz val="28"/>
      <color theme="6" tint="-0.499984740745262"/>
      <name val="Arial Black"/>
      <family val="2"/>
      <charset val="204"/>
    </font>
    <font>
      <b/>
      <sz val="30"/>
      <color theme="9" tint="-0.249977111117893"/>
      <name val="MS Sans Serif"/>
      <family val="2"/>
      <charset val="204"/>
    </font>
    <font>
      <b/>
      <sz val="30"/>
      <name val="MS Sans Serif"/>
      <family val="2"/>
      <charset val="204"/>
    </font>
    <font>
      <b/>
      <sz val="12"/>
      <name val="MS Sans Serif"/>
      <family val="2"/>
      <charset val="204"/>
    </font>
    <font>
      <b/>
      <sz val="18"/>
      <name val="MS Sans Serif"/>
      <family val="2"/>
      <charset val="204"/>
    </font>
    <font>
      <sz val="12"/>
      <name val="MS Sans Serif"/>
      <family val="2"/>
      <charset val="204"/>
    </font>
    <font>
      <b/>
      <sz val="24"/>
      <name val="MS Sans Serif"/>
      <family val="2"/>
      <charset val="204"/>
    </font>
    <font>
      <b/>
      <sz val="22"/>
      <name val="MS Sans Serif"/>
      <family val="2"/>
      <charset val="204"/>
    </font>
    <font>
      <sz val="18"/>
      <name val="MS Sans Serif"/>
      <family val="2"/>
      <charset val="204"/>
    </font>
    <font>
      <sz val="24"/>
      <name val="MS Sans Serif"/>
      <family val="2"/>
      <charset val="204"/>
    </font>
    <font>
      <b/>
      <sz val="20"/>
      <name val="Arial"/>
      <family val="2"/>
      <charset val="204"/>
    </font>
    <font>
      <sz val="20"/>
      <name val="Arial"/>
      <family val="2"/>
      <charset val="204"/>
    </font>
    <font>
      <sz val="11"/>
      <name val="TimesET"/>
    </font>
    <font>
      <i/>
      <sz val="11"/>
      <name val="Arial Cyr"/>
      <family val="2"/>
      <charset val="204"/>
    </font>
    <font>
      <b/>
      <sz val="12"/>
      <color indexed="12"/>
      <name val="Arial Cyr"/>
      <family val="2"/>
      <charset val="204"/>
    </font>
    <font>
      <sz val="11"/>
      <color indexed="12"/>
      <name val="Arial Cyr"/>
      <family val="2"/>
      <charset val="204"/>
    </font>
    <font>
      <b/>
      <sz val="10"/>
      <color indexed="12"/>
      <name val="Arial Cyr"/>
      <family val="2"/>
      <charset val="204"/>
    </font>
    <font>
      <b/>
      <i/>
      <sz val="11"/>
      <name val="Arial Cyr"/>
      <family val="2"/>
      <charset val="204"/>
    </font>
    <font>
      <b/>
      <sz val="11"/>
      <name val="Arial Cyr"/>
      <charset val="204"/>
    </font>
    <font>
      <sz val="11"/>
      <color indexed="55"/>
      <name val="Arial Cyr"/>
      <family val="2"/>
      <charset val="204"/>
    </font>
    <font>
      <b/>
      <sz val="11"/>
      <color indexed="8"/>
      <name val="Arial Cyr"/>
      <charset val="204"/>
    </font>
    <font>
      <b/>
      <i/>
      <sz val="11"/>
      <color indexed="10"/>
      <name val="Arial Cyr"/>
      <charset val="204"/>
    </font>
    <font>
      <sz val="10"/>
      <name val="Arial"/>
      <family val="2"/>
      <charset val="204"/>
    </font>
    <font>
      <sz val="11"/>
      <name val="Arial Cyr"/>
      <charset val="204"/>
    </font>
    <font>
      <b/>
      <i/>
      <sz val="14"/>
      <name val="Arial Cyr"/>
      <family val="2"/>
      <charset val="204"/>
    </font>
    <font>
      <b/>
      <i/>
      <sz val="11"/>
      <name val="Arial Cyr"/>
      <charset val="204"/>
    </font>
    <font>
      <b/>
      <i/>
      <sz val="11"/>
      <color indexed="9"/>
      <name val="Arial Cyr"/>
      <family val="2"/>
      <charset val="204"/>
    </font>
    <font>
      <sz val="11"/>
      <color indexed="10"/>
      <name val="Arial Cyr"/>
      <family val="2"/>
      <charset val="204"/>
    </font>
    <font>
      <sz val="10"/>
      <color indexed="10"/>
      <name val="MS Sans Serif"/>
      <family val="2"/>
    </font>
    <font>
      <sz val="10"/>
      <name val="MS Sans Serif"/>
      <family val="2"/>
    </font>
    <font>
      <b/>
      <sz val="12"/>
      <color indexed="10"/>
      <name val="MS Sans Serif"/>
      <family val="2"/>
      <charset val="204"/>
    </font>
    <font>
      <b/>
      <sz val="12"/>
      <color indexed="12"/>
      <name val="MS Sans Serif"/>
      <family val="2"/>
      <charset val="204"/>
    </font>
    <font>
      <b/>
      <i/>
      <sz val="11"/>
      <color indexed="63"/>
      <name val="Arial Cyr"/>
      <family val="2"/>
      <charset val="204"/>
    </font>
    <font>
      <b/>
      <sz val="11"/>
      <color indexed="10"/>
      <name val="Arial Cyr"/>
      <family val="2"/>
      <charset val="204"/>
    </font>
    <font>
      <sz val="10"/>
      <color indexed="8"/>
      <name val="MS Sans Serif"/>
      <family val="2"/>
      <charset val="204"/>
    </font>
    <font>
      <b/>
      <i/>
      <sz val="11"/>
      <color indexed="8"/>
      <name val="Arial Cyr"/>
      <charset val="204"/>
    </font>
    <font>
      <b/>
      <i/>
      <sz val="11"/>
      <color indexed="10"/>
      <name val="Arial Cyr"/>
      <family val="2"/>
      <charset val="204"/>
    </font>
    <font>
      <sz val="11"/>
      <color indexed="9"/>
      <name val="Arial Cyr"/>
      <family val="2"/>
      <charset val="204"/>
    </font>
    <font>
      <b/>
      <sz val="11"/>
      <color indexed="9"/>
      <name val="Arial Cyr"/>
      <family val="2"/>
      <charset val="204"/>
    </font>
    <font>
      <b/>
      <sz val="11"/>
      <color indexed="12"/>
      <name val="Arial Cyr"/>
      <family val="2"/>
      <charset val="204"/>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i/>
      <sz val="11"/>
      <color theme="1"/>
      <name val="Montserrat"/>
      <charset val="204"/>
    </font>
    <font>
      <i/>
      <sz val="14"/>
      <color theme="5" tint="-0.499984740745262"/>
      <name val="Montserrat"/>
      <charset val="204"/>
    </font>
    <font>
      <b/>
      <i/>
      <sz val="14"/>
      <color rgb="FFFF0000"/>
      <name val="Montserrat"/>
      <charset val="204"/>
    </font>
    <font>
      <i/>
      <sz val="11"/>
      <color theme="1"/>
      <name val="Montserrat"/>
    </font>
    <font>
      <i/>
      <sz val="14"/>
      <color theme="1"/>
      <name val="Montserrat"/>
      <charset val="204"/>
    </font>
    <font>
      <sz val="7"/>
      <color theme="1"/>
      <name val="Montserrat"/>
    </font>
    <font>
      <sz val="12"/>
      <color theme="5" tint="-0.499984740745262"/>
      <name val="Montserrat"/>
      <charset val="204"/>
    </font>
    <font>
      <i/>
      <sz val="9"/>
      <color theme="1"/>
      <name val="Montserrat"/>
      <charset val="204"/>
    </font>
    <font>
      <i/>
      <sz val="12"/>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i/>
      <sz val="14"/>
      <color theme="5" tint="-0.499984740745262"/>
      <name val="Montserrat"/>
    </font>
    <font>
      <b/>
      <i/>
      <sz val="14"/>
      <color rgb="FFFF0000"/>
      <name val="Montserrat"/>
    </font>
    <font>
      <i/>
      <sz val="14"/>
      <color theme="1"/>
      <name val="Montserrat"/>
    </font>
    <font>
      <sz val="12"/>
      <color theme="5" tint="-0.499984740745262"/>
      <name val="Montserrat"/>
    </font>
    <font>
      <u/>
      <sz val="11"/>
      <color theme="10"/>
      <name val="Calibri"/>
      <family val="2"/>
      <charset val="204"/>
      <scheme val="minor"/>
    </font>
  </fonts>
  <fills count="11">
    <fill>
      <patternFill patternType="none"/>
    </fill>
    <fill>
      <patternFill patternType="gray125"/>
    </fill>
    <fill>
      <patternFill patternType="gray0625">
        <fgColor indexed="15"/>
      </patternFill>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0.249977111117893"/>
        <bgColor indexed="64"/>
      </patternFill>
    </fill>
  </fills>
  <borders count="132">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rgb="FF00B050"/>
      </left>
      <right style="double">
        <color rgb="FF00B050"/>
      </right>
      <top style="double">
        <color rgb="FF00B050"/>
      </top>
      <bottom style="double">
        <color rgb="FF00B050"/>
      </bottom>
      <diagonal/>
    </border>
    <border>
      <left style="double">
        <color rgb="FF00B050"/>
      </left>
      <right style="double">
        <color rgb="FF00B050"/>
      </right>
      <top style="double">
        <color rgb="FF00B050"/>
      </top>
      <bottom/>
      <diagonal/>
    </border>
    <border>
      <left style="double">
        <color rgb="FF00B050"/>
      </left>
      <right style="double">
        <color rgb="FF00B050"/>
      </right>
      <top/>
      <bottom/>
      <diagonal/>
    </border>
    <border>
      <left style="double">
        <color rgb="FF00B050"/>
      </left>
      <right style="double">
        <color rgb="FF00B050"/>
      </right>
      <top/>
      <bottom style="double">
        <color rgb="FF00B050"/>
      </bottom>
      <diagonal/>
    </border>
    <border>
      <left/>
      <right/>
      <top/>
      <bottom style="dashed">
        <color indexed="17"/>
      </bottom>
      <diagonal/>
    </border>
    <border>
      <left/>
      <right/>
      <top style="dashed">
        <color indexed="17"/>
      </top>
      <bottom/>
      <diagonal/>
    </border>
    <border>
      <left style="thin">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double">
        <color indexed="50"/>
      </left>
      <right/>
      <top/>
      <bottom/>
      <diagonal/>
    </border>
    <border>
      <left/>
      <right style="double">
        <color indexed="50"/>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style="thin">
        <color indexed="50"/>
      </top>
      <bottom style="thin">
        <color indexed="50"/>
      </bottom>
      <diagonal/>
    </border>
    <border>
      <left/>
      <right style="double">
        <color indexed="50"/>
      </right>
      <top/>
      <bottom style="thin">
        <color indexed="50"/>
      </bottom>
      <diagonal/>
    </border>
    <border>
      <left style="double">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style="thin">
        <color indexed="50"/>
      </left>
      <right style="double">
        <color indexed="50"/>
      </right>
      <top style="double">
        <color indexed="50"/>
      </top>
      <bottom style="thin">
        <color indexed="50"/>
      </bottom>
      <diagonal/>
    </border>
    <border>
      <left/>
      <right/>
      <top style="thin">
        <color indexed="50"/>
      </top>
      <bottom style="thin">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top style="double">
        <color indexed="50"/>
      </top>
      <bottom/>
      <diagonal/>
    </border>
    <border>
      <left/>
      <right style="thin">
        <color indexed="50"/>
      </right>
      <top style="double">
        <color indexed="50"/>
      </top>
      <bottom/>
      <diagonal/>
    </border>
    <border>
      <left style="double">
        <color indexed="50"/>
      </left>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style="thin">
        <color indexed="50"/>
      </bottom>
      <diagonal/>
    </border>
    <border>
      <left/>
      <right style="thin">
        <color indexed="50"/>
      </right>
      <top/>
      <bottom style="thin">
        <color indexed="50"/>
      </bottom>
      <diagonal/>
    </border>
    <border>
      <left style="thin">
        <color indexed="50"/>
      </left>
      <right/>
      <top style="thin">
        <color indexed="50"/>
      </top>
      <bottom style="thin">
        <color indexed="50"/>
      </bottom>
      <diagonal/>
    </border>
    <border>
      <left/>
      <right/>
      <top/>
      <bottom style="hair">
        <color indexed="50"/>
      </bottom>
      <diagonal/>
    </border>
    <border>
      <left/>
      <right/>
      <top style="hair">
        <color indexed="50"/>
      </top>
      <bottom style="hair">
        <color indexed="50"/>
      </bottom>
      <diagonal/>
    </border>
    <border>
      <left/>
      <right/>
      <top style="hair">
        <color indexed="50"/>
      </top>
      <bottom/>
      <diagonal/>
    </border>
    <border>
      <left/>
      <right style="double">
        <color indexed="50"/>
      </right>
      <top style="hair">
        <color indexed="50"/>
      </top>
      <bottom style="hair">
        <color indexed="50"/>
      </bottom>
      <diagonal/>
    </border>
    <border>
      <left/>
      <right style="double">
        <color indexed="50"/>
      </right>
      <top/>
      <bottom style="hair">
        <color indexed="50"/>
      </bottom>
      <diagonal/>
    </border>
    <border>
      <left/>
      <right/>
      <top style="thin">
        <color auto="1"/>
      </top>
      <bottom/>
      <diagonal/>
    </border>
    <border>
      <left/>
      <right style="thin">
        <color auto="1"/>
      </right>
      <top style="thin">
        <color auto="1"/>
      </top>
      <bottom/>
      <diagonal/>
    </border>
    <border>
      <left style="double">
        <color auto="1"/>
      </left>
      <right style="double">
        <color auto="1"/>
      </right>
      <top style="double">
        <color auto="1"/>
      </top>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double">
        <color auto="1"/>
      </left>
      <right style="double">
        <color auto="1"/>
      </right>
      <top/>
      <bottom/>
      <diagonal/>
    </border>
    <border>
      <left style="double">
        <color auto="1"/>
      </left>
      <right/>
      <top style="thin">
        <color auto="1"/>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style="double">
        <color indexed="64"/>
      </right>
      <top/>
      <bottom style="double">
        <color indexed="64"/>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style="double">
        <color auto="1"/>
      </left>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thin">
        <color indexed="64"/>
      </top>
      <bottom/>
      <diagonal/>
    </border>
    <border>
      <left/>
      <right style="double">
        <color auto="1"/>
      </right>
      <top style="thin">
        <color auto="1"/>
      </top>
      <bottom/>
      <diagonal/>
    </border>
    <border>
      <left style="thin">
        <color auto="1"/>
      </left>
      <right style="double">
        <color auto="1"/>
      </right>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4">
    <xf numFmtId="0" fontId="0" fillId="0" borderId="0"/>
    <xf numFmtId="40" fontId="8" fillId="0" borderId="0" applyFont="0" applyFill="0" applyBorder="0" applyAlignment="0" applyProtection="0"/>
    <xf numFmtId="38"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25" fillId="0" borderId="0" applyNumberFormat="0" applyFill="0" applyBorder="0" applyAlignment="0" applyProtection="0">
      <alignment vertical="top"/>
      <protection locked="0"/>
    </xf>
    <xf numFmtId="0" fontId="3" fillId="0" borderId="0"/>
    <xf numFmtId="167" fontId="8" fillId="0" borderId="0" applyFont="0" applyFill="0" applyBorder="0" applyAlignment="0" applyProtection="0"/>
    <xf numFmtId="0" fontId="58" fillId="0" borderId="0"/>
    <xf numFmtId="0" fontId="10" fillId="0" borderId="0"/>
    <xf numFmtId="0" fontId="68" fillId="0" borderId="0"/>
    <xf numFmtId="0" fontId="68" fillId="0" borderId="0"/>
    <xf numFmtId="0" fontId="68" fillId="0" borderId="0"/>
    <xf numFmtId="0" fontId="8" fillId="0" borderId="0"/>
    <xf numFmtId="0" fontId="3" fillId="0" borderId="0"/>
    <xf numFmtId="40" fontId="4" fillId="0" borderId="0" applyFont="0" applyFill="0" applyBorder="0" applyAlignment="0" applyProtection="0"/>
    <xf numFmtId="9" fontId="4" fillId="0" borderId="0" applyFont="0" applyFill="0" applyBorder="0" applyAlignment="0" applyProtection="0"/>
    <xf numFmtId="0" fontId="86"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0" fillId="0" borderId="0" applyNumberFormat="0" applyFill="0" applyBorder="0" applyAlignment="0" applyProtection="0"/>
  </cellStyleXfs>
  <cellXfs count="851">
    <xf numFmtId="0" fontId="0" fillId="0" borderId="0" xfId="0"/>
    <xf numFmtId="0" fontId="6" fillId="0" borderId="0" xfId="0" applyFont="1"/>
    <xf numFmtId="0" fontId="5" fillId="0" borderId="0" xfId="0" applyFont="1"/>
    <xf numFmtId="9" fontId="6" fillId="0" borderId="0" xfId="0" applyNumberFormat="1" applyFont="1"/>
    <xf numFmtId="0" fontId="5" fillId="0" borderId="0" xfId="0" applyFont="1" applyAlignment="1">
      <alignment horizontal="center" vertical="center"/>
    </xf>
    <xf numFmtId="169" fontId="5" fillId="0" borderId="0" xfId="0" applyNumberFormat="1" applyFont="1"/>
    <xf numFmtId="0" fontId="6" fillId="0" borderId="0" xfId="0" applyFont="1" applyAlignment="1">
      <alignment horizontal="left" vertical="center"/>
    </xf>
    <xf numFmtId="168" fontId="6" fillId="0" borderId="0" xfId="4" applyNumberFormat="1" applyFont="1"/>
    <xf numFmtId="0" fontId="11" fillId="0" borderId="0" xfId="0" applyFont="1" applyAlignment="1">
      <alignment horizontal="center" vertical="center" wrapText="1"/>
    </xf>
    <xf numFmtId="171" fontId="23" fillId="0" borderId="0" xfId="2" applyNumberFormat="1" applyFont="1"/>
    <xf numFmtId="0" fontId="6" fillId="0" borderId="0" xfId="0" applyFont="1" applyAlignment="1">
      <alignment horizontal="center" vertical="center" wrapText="1"/>
    </xf>
    <xf numFmtId="171" fontId="6" fillId="0" borderId="0" xfId="2" applyNumberFormat="1" applyFont="1"/>
    <xf numFmtId="171" fontId="6" fillId="0" borderId="0" xfId="0" applyNumberFormat="1" applyFont="1"/>
    <xf numFmtId="9" fontId="6" fillId="0" borderId="0" xfId="3" applyFont="1"/>
    <xf numFmtId="0" fontId="11" fillId="0" borderId="0" xfId="0" applyFont="1" applyAlignment="1">
      <alignment horizontal="left" vertical="center"/>
    </xf>
    <xf numFmtId="0" fontId="23" fillId="0" borderId="0" xfId="0" applyFont="1" applyAlignment="1">
      <alignment horizontal="left" vertical="center"/>
    </xf>
    <xf numFmtId="171" fontId="11" fillId="0" borderId="0" xfId="0" applyNumberFormat="1" applyFont="1"/>
    <xf numFmtId="171" fontId="6" fillId="0" borderId="0" xfId="0" applyNumberFormat="1" applyFont="1" applyAlignment="1">
      <alignment horizontal="center"/>
    </xf>
    <xf numFmtId="171" fontId="11" fillId="0" borderId="0" xfId="2" applyNumberFormat="1" applyFont="1"/>
    <xf numFmtId="0" fontId="3" fillId="0" borderId="0" xfId="7"/>
    <xf numFmtId="0" fontId="29" fillId="0" borderId="15" xfId="7" applyFont="1" applyBorder="1" applyAlignment="1">
      <alignment vertical="center" wrapText="1"/>
    </xf>
    <xf numFmtId="0" fontId="29" fillId="0" borderId="15" xfId="7" applyFont="1" applyBorder="1" applyAlignment="1">
      <alignment vertical="center"/>
    </xf>
    <xf numFmtId="0" fontId="29" fillId="0" borderId="15" xfId="7" applyFont="1" applyBorder="1" applyAlignment="1">
      <alignment horizontal="right" vertical="center"/>
    </xf>
    <xf numFmtId="0" fontId="29" fillId="0" borderId="15" xfId="7" applyFont="1" applyBorder="1" applyAlignment="1">
      <alignment horizontal="right" vertical="center" wrapText="1"/>
    </xf>
    <xf numFmtId="0" fontId="29" fillId="0" borderId="16" xfId="7" applyFont="1" applyBorder="1" applyAlignment="1">
      <alignment horizontal="right" vertical="center" wrapText="1"/>
    </xf>
    <xf numFmtId="0" fontId="29" fillId="0" borderId="16" xfId="7" applyFont="1" applyBorder="1" applyAlignment="1">
      <alignment vertical="center" wrapText="1"/>
    </xf>
    <xf numFmtId="0" fontId="29" fillId="0" borderId="15" xfId="7" applyFont="1" applyBorder="1" applyAlignment="1">
      <alignment horizontal="center" vertical="center" wrapText="1"/>
    </xf>
    <xf numFmtId="173" fontId="29" fillId="0" borderId="15" xfId="1" applyNumberFormat="1" applyFont="1" applyBorder="1" applyAlignment="1">
      <alignment horizontal="center" vertical="center" wrapText="1"/>
    </xf>
    <xf numFmtId="1" fontId="30" fillId="0" borderId="15" xfId="7" applyNumberFormat="1" applyFont="1" applyBorder="1" applyAlignment="1">
      <alignment horizontal="center" vertical="center" wrapText="1"/>
    </xf>
    <xf numFmtId="3" fontId="30" fillId="0" borderId="15" xfId="7" applyNumberFormat="1" applyFont="1" applyBorder="1" applyAlignment="1">
      <alignment horizontal="center" vertical="center" wrapText="1"/>
    </xf>
    <xf numFmtId="0" fontId="31" fillId="0" borderId="15" xfId="0" applyFont="1" applyBorder="1" applyAlignment="1">
      <alignment vertical="center" wrapText="1"/>
    </xf>
    <xf numFmtId="0" fontId="32" fillId="0" borderId="0" xfId="0" applyFont="1" applyAlignment="1">
      <alignment horizontal="center" vertical="center"/>
    </xf>
    <xf numFmtId="0" fontId="32" fillId="0" borderId="0" xfId="0" applyFont="1"/>
    <xf numFmtId="0" fontId="32" fillId="0" borderId="0" xfId="0" applyFont="1" applyAlignment="1">
      <alignment horizontal="center"/>
    </xf>
    <xf numFmtId="0" fontId="32" fillId="0" borderId="0" xfId="0" applyFont="1" applyAlignment="1">
      <alignment horizontal="center" vertical="center" wrapText="1"/>
    </xf>
    <xf numFmtId="0" fontId="32" fillId="0" borderId="0" xfId="0" applyFont="1" applyAlignment="1">
      <alignment horizontal="left" vertical="center"/>
    </xf>
    <xf numFmtId="38" fontId="32" fillId="0" borderId="1" xfId="1" applyNumberFormat="1" applyFont="1" applyBorder="1" applyAlignment="1">
      <alignment horizontal="center" vertical="center"/>
    </xf>
    <xf numFmtId="3" fontId="32" fillId="0" borderId="30" xfId="0" applyNumberFormat="1" applyFont="1" applyBorder="1" applyAlignment="1">
      <alignment vertical="center"/>
    </xf>
    <xf numFmtId="38" fontId="32" fillId="4" borderId="15" xfId="1" applyNumberFormat="1" applyFont="1" applyFill="1" applyBorder="1" applyAlignment="1">
      <alignment horizontal="center" vertical="center"/>
    </xf>
    <xf numFmtId="3" fontId="32" fillId="0" borderId="18" xfId="0" applyNumberFormat="1" applyFont="1" applyBorder="1" applyAlignment="1">
      <alignment vertical="center"/>
    </xf>
    <xf numFmtId="164" fontId="32" fillId="0" borderId="0" xfId="3" applyNumberFormat="1" applyFont="1"/>
    <xf numFmtId="9" fontId="32" fillId="0" borderId="0" xfId="3" applyFont="1"/>
    <xf numFmtId="38" fontId="32" fillId="0" borderId="5" xfId="1" applyNumberFormat="1" applyFont="1" applyBorder="1" applyAlignment="1">
      <alignment horizontal="center" vertical="center"/>
    </xf>
    <xf numFmtId="3" fontId="32" fillId="0" borderId="31" xfId="0" applyNumberFormat="1" applyFont="1" applyBorder="1" applyAlignment="1">
      <alignment vertical="center"/>
    </xf>
    <xf numFmtId="3" fontId="32" fillId="0" borderId="0" xfId="0" applyNumberFormat="1" applyFont="1"/>
    <xf numFmtId="0" fontId="34" fillId="2" borderId="0" xfId="0" applyFont="1" applyFill="1" applyAlignment="1">
      <alignment horizontal="left" vertical="center"/>
    </xf>
    <xf numFmtId="0" fontId="34" fillId="2" borderId="0" xfId="0" applyFont="1" applyFill="1" applyAlignment="1">
      <alignment horizontal="center" vertical="center"/>
    </xf>
    <xf numFmtId="0" fontId="34" fillId="2" borderId="0" xfId="0" applyFont="1" applyFill="1"/>
    <xf numFmtId="0" fontId="35" fillId="2" borderId="0" xfId="0" applyFont="1" applyFill="1"/>
    <xf numFmtId="0" fontId="35" fillId="0" borderId="0" xfId="0" applyFont="1"/>
    <xf numFmtId="0" fontId="35" fillId="2" borderId="0" xfId="0" applyFont="1" applyFill="1" applyAlignment="1">
      <alignment horizontal="center"/>
    </xf>
    <xf numFmtId="3" fontId="36" fillId="2" borderId="0" xfId="0" applyNumberFormat="1" applyFont="1" applyFill="1"/>
    <xf numFmtId="0" fontId="12" fillId="0" borderId="0" xfId="0" applyFont="1" applyAlignment="1">
      <alignment vertical="center"/>
    </xf>
    <xf numFmtId="0" fontId="37" fillId="0" borderId="0" xfId="0" applyFont="1"/>
    <xf numFmtId="0" fontId="32" fillId="0" borderId="15" xfId="0" applyFont="1" applyBorder="1" applyAlignment="1">
      <alignment horizontal="center" vertical="center" wrapText="1"/>
    </xf>
    <xf numFmtId="0" fontId="32" fillId="0" borderId="15" xfId="0" applyFont="1" applyBorder="1"/>
    <xf numFmtId="0" fontId="38" fillId="0" borderId="21" xfId="0" applyFont="1" applyBorder="1" applyAlignment="1">
      <alignment horizontal="center" vertical="center" wrapText="1"/>
    </xf>
    <xf numFmtId="0" fontId="32" fillId="0" borderId="21" xfId="0" applyFont="1" applyBorder="1" applyAlignment="1">
      <alignment horizontal="center" wrapText="1"/>
    </xf>
    <xf numFmtId="9" fontId="39" fillId="5" borderId="21" xfId="3" applyFont="1" applyFill="1" applyBorder="1" applyAlignment="1">
      <alignment horizontal="center" wrapText="1"/>
    </xf>
    <xf numFmtId="9" fontId="39" fillId="4" borderId="51" xfId="3" applyFont="1" applyFill="1" applyBorder="1" applyAlignment="1">
      <alignment horizontal="center"/>
    </xf>
    <xf numFmtId="0" fontId="32" fillId="0" borderId="33" xfId="0" applyFont="1" applyBorder="1" applyAlignment="1">
      <alignment horizontal="center" vertical="center" wrapText="1"/>
    </xf>
    <xf numFmtId="0" fontId="32" fillId="0" borderId="21" xfId="0" applyFont="1" applyBorder="1" applyAlignment="1">
      <alignment horizontal="center" vertical="center" wrapText="1"/>
    </xf>
    <xf numFmtId="9" fontId="40" fillId="0" borderId="51" xfId="3" applyFont="1" applyBorder="1" applyAlignment="1">
      <alignment horizontal="center"/>
    </xf>
    <xf numFmtId="168" fontId="32" fillId="0" borderId="16" xfId="8" applyNumberFormat="1" applyFont="1" applyBorder="1" applyAlignment="1">
      <alignment horizontal="center" vertical="center"/>
    </xf>
    <xf numFmtId="168" fontId="39" fillId="0" borderId="51" xfId="8" applyNumberFormat="1" applyFont="1" applyBorder="1" applyAlignment="1">
      <alignment horizontal="center" vertical="center"/>
    </xf>
    <xf numFmtId="9" fontId="39" fillId="0" borderId="51" xfId="3" applyFont="1" applyBorder="1" applyAlignment="1">
      <alignment horizontal="center"/>
    </xf>
    <xf numFmtId="168" fontId="32" fillId="0" borderId="51" xfId="8" applyNumberFormat="1" applyFont="1" applyBorder="1" applyAlignment="1">
      <alignment horizontal="center"/>
    </xf>
    <xf numFmtId="168" fontId="32" fillId="0" borderId="16" xfId="8" applyNumberFormat="1" applyFont="1" applyBorder="1"/>
    <xf numFmtId="9" fontId="41" fillId="0" borderId="51" xfId="3" applyFont="1" applyBorder="1" applyAlignment="1">
      <alignment horizontal="center"/>
    </xf>
    <xf numFmtId="167" fontId="32" fillId="0" borderId="33" xfId="8" applyFont="1" applyBorder="1" applyAlignment="1">
      <alignment horizontal="center"/>
    </xf>
    <xf numFmtId="168" fontId="41" fillId="0" borderId="15" xfId="1" applyNumberFormat="1" applyFont="1" applyBorder="1" applyAlignment="1">
      <alignment horizontal="center"/>
    </xf>
    <xf numFmtId="168" fontId="32" fillId="0" borderId="15" xfId="8" applyNumberFormat="1" applyFont="1" applyBorder="1" applyAlignment="1">
      <alignment horizontal="center"/>
    </xf>
    <xf numFmtId="168" fontId="32" fillId="0" borderId="15" xfId="0" applyNumberFormat="1" applyFont="1" applyBorder="1" applyAlignment="1">
      <alignment horizontal="center"/>
    </xf>
    <xf numFmtId="164" fontId="32" fillId="0" borderId="15" xfId="3" applyNumberFormat="1" applyFont="1" applyBorder="1" applyAlignment="1">
      <alignment horizontal="center"/>
    </xf>
    <xf numFmtId="40" fontId="32" fillId="0" borderId="15" xfId="1" applyFont="1" applyBorder="1" applyAlignment="1">
      <alignment horizontal="center"/>
    </xf>
    <xf numFmtId="174" fontId="32" fillId="0" borderId="0" xfId="0" applyNumberFormat="1" applyFont="1"/>
    <xf numFmtId="168" fontId="32" fillId="0" borderId="15" xfId="8" applyNumberFormat="1" applyFont="1" applyBorder="1" applyAlignment="1">
      <alignment horizontal="center" vertical="center"/>
    </xf>
    <xf numFmtId="168" fontId="32" fillId="0" borderId="51" xfId="8" applyNumberFormat="1" applyFont="1" applyBorder="1" applyAlignment="1">
      <alignment horizontal="center" vertical="center"/>
    </xf>
    <xf numFmtId="40" fontId="32" fillId="0" borderId="51" xfId="1" applyFont="1" applyBorder="1" applyAlignment="1">
      <alignment horizontal="center"/>
    </xf>
    <xf numFmtId="9" fontId="41" fillId="0" borderId="15" xfId="3" applyFont="1" applyBorder="1" applyAlignment="1">
      <alignment horizontal="center"/>
    </xf>
    <xf numFmtId="167" fontId="32" fillId="0" borderId="15" xfId="8" applyFont="1" applyBorder="1" applyAlignment="1">
      <alignment horizontal="center"/>
    </xf>
    <xf numFmtId="166" fontId="32" fillId="0" borderId="15" xfId="0" applyNumberFormat="1" applyFont="1" applyBorder="1" applyAlignment="1">
      <alignment horizontal="center"/>
    </xf>
    <xf numFmtId="0" fontId="32" fillId="0" borderId="15" xfId="0" applyFont="1" applyBorder="1" applyAlignment="1">
      <alignment horizontal="center"/>
    </xf>
    <xf numFmtId="40" fontId="32" fillId="0" borderId="0" xfId="1" applyFont="1"/>
    <xf numFmtId="168" fontId="36" fillId="4" borderId="16" xfId="8" applyNumberFormat="1" applyFont="1" applyFill="1" applyBorder="1" applyAlignment="1">
      <alignment horizontal="center" vertical="center"/>
    </xf>
    <xf numFmtId="168" fontId="42" fillId="4" borderId="51" xfId="8" applyNumberFormat="1" applyFont="1" applyFill="1" applyBorder="1" applyAlignment="1">
      <alignment horizontal="center" vertical="center"/>
    </xf>
    <xf numFmtId="9" fontId="42" fillId="4" borderId="51" xfId="3" applyFont="1" applyFill="1" applyBorder="1" applyAlignment="1">
      <alignment horizontal="center"/>
    </xf>
    <xf numFmtId="168" fontId="32" fillId="4" borderId="51" xfId="8" applyNumberFormat="1" applyFont="1" applyFill="1" applyBorder="1" applyAlignment="1">
      <alignment horizontal="center"/>
    </xf>
    <xf numFmtId="168" fontId="32" fillId="4" borderId="16" xfId="8" applyNumberFormat="1" applyFont="1" applyFill="1" applyBorder="1"/>
    <xf numFmtId="9" fontId="41" fillId="4" borderId="51" xfId="3" applyFont="1" applyFill="1" applyBorder="1" applyAlignment="1">
      <alignment horizontal="center"/>
    </xf>
    <xf numFmtId="167" fontId="36" fillId="4" borderId="33" xfId="8" applyFont="1" applyFill="1" applyBorder="1" applyAlignment="1">
      <alignment horizontal="center"/>
    </xf>
    <xf numFmtId="168" fontId="41" fillId="4" borderId="15" xfId="1" applyNumberFormat="1" applyFont="1" applyFill="1" applyBorder="1" applyAlignment="1">
      <alignment horizontal="center"/>
    </xf>
    <xf numFmtId="168" fontId="32" fillId="4" borderId="15" xfId="8" applyNumberFormat="1" applyFont="1" applyFill="1" applyBorder="1" applyAlignment="1">
      <alignment horizontal="center"/>
    </xf>
    <xf numFmtId="168" fontId="32" fillId="4" borderId="15" xfId="0" applyNumberFormat="1" applyFont="1" applyFill="1" applyBorder="1" applyAlignment="1">
      <alignment horizontal="center"/>
    </xf>
    <xf numFmtId="164" fontId="32" fillId="4" borderId="15" xfId="3" applyNumberFormat="1" applyFont="1" applyFill="1" applyBorder="1" applyAlignment="1">
      <alignment horizontal="center"/>
    </xf>
    <xf numFmtId="168" fontId="43" fillId="4" borderId="15" xfId="3" applyNumberFormat="1" applyFont="1" applyFill="1" applyBorder="1" applyAlignment="1">
      <alignment horizontal="center"/>
    </xf>
    <xf numFmtId="168" fontId="43" fillId="4" borderId="15" xfId="0" applyNumberFormat="1" applyFont="1" applyFill="1" applyBorder="1" applyAlignment="1">
      <alignment horizontal="center"/>
    </xf>
    <xf numFmtId="168" fontId="32" fillId="0" borderId="9" xfId="8" applyNumberFormat="1" applyFont="1" applyBorder="1" applyAlignment="1">
      <alignment horizontal="center" vertical="center"/>
    </xf>
    <xf numFmtId="169" fontId="32" fillId="0" borderId="15" xfId="8" applyNumberFormat="1" applyFont="1" applyBorder="1" applyAlignment="1">
      <alignment horizontal="center" vertical="center"/>
    </xf>
    <xf numFmtId="167" fontId="32" fillId="0" borderId="15" xfId="8" applyFont="1" applyBorder="1"/>
    <xf numFmtId="40" fontId="32" fillId="0" borderId="15" xfId="1"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left" vertical="center"/>
    </xf>
    <xf numFmtId="0" fontId="32" fillId="0" borderId="15" xfId="0" applyFont="1" applyBorder="1" applyAlignment="1">
      <alignment horizontal="left" vertical="center"/>
    </xf>
    <xf numFmtId="0" fontId="32" fillId="0" borderId="15" xfId="0" applyFont="1" applyBorder="1" applyAlignment="1">
      <alignment horizontal="center" vertical="center"/>
    </xf>
    <xf numFmtId="38" fontId="32" fillId="0" borderId="15" xfId="0" applyNumberFormat="1" applyFont="1" applyBorder="1" applyAlignment="1">
      <alignment vertical="center"/>
    </xf>
    <xf numFmtId="9" fontId="32" fillId="0" borderId="15" xfId="0" applyNumberFormat="1" applyFont="1" applyBorder="1" applyAlignment="1">
      <alignment vertical="center"/>
    </xf>
    <xf numFmtId="9" fontId="32" fillId="0" borderId="15" xfId="3" applyFont="1" applyBorder="1" applyAlignment="1">
      <alignment vertical="center"/>
    </xf>
    <xf numFmtId="0" fontId="32" fillId="0" borderId="0" xfId="0" applyFont="1" applyAlignment="1">
      <alignment vertical="center"/>
    </xf>
    <xf numFmtId="49" fontId="32" fillId="6" borderId="15" xfId="0" applyNumberFormat="1" applyFont="1" applyFill="1" applyBorder="1" applyAlignment="1">
      <alignment horizontal="center" vertical="center" wrapText="1"/>
    </xf>
    <xf numFmtId="0" fontId="32" fillId="6" borderId="15" xfId="0" applyFont="1" applyFill="1" applyBorder="1" applyAlignment="1">
      <alignment horizontal="center" vertical="center" wrapText="1"/>
    </xf>
    <xf numFmtId="38" fontId="32" fillId="6" borderId="15" xfId="1" applyNumberFormat="1" applyFont="1" applyFill="1" applyBorder="1" applyAlignment="1">
      <alignment horizontal="center" vertical="center" wrapText="1"/>
    </xf>
    <xf numFmtId="40" fontId="32" fillId="6" borderId="15" xfId="1" applyFont="1" applyFill="1" applyBorder="1" applyAlignment="1">
      <alignment horizontal="center" vertical="center" wrapText="1"/>
    </xf>
    <xf numFmtId="38" fontId="32" fillId="0" borderId="15" xfId="1" applyNumberFormat="1" applyFont="1" applyBorder="1" applyAlignment="1">
      <alignment horizontal="center" vertical="center" wrapText="1"/>
    </xf>
    <xf numFmtId="40" fontId="32" fillId="0" borderId="0" xfId="1" applyFont="1" applyAlignment="1">
      <alignment vertical="center"/>
    </xf>
    <xf numFmtId="38" fontId="32" fillId="0" borderId="0" xfId="0" applyNumberFormat="1" applyFont="1" applyAlignment="1">
      <alignment vertical="center"/>
    </xf>
    <xf numFmtId="38" fontId="32" fillId="0" borderId="15" xfId="0" applyNumberFormat="1" applyFont="1" applyBorder="1" applyAlignment="1">
      <alignment horizontal="center" vertical="center" wrapText="1"/>
    </xf>
    <xf numFmtId="0" fontId="32" fillId="0" borderId="15" xfId="0" applyFont="1" applyBorder="1" applyAlignment="1">
      <alignment vertical="center"/>
    </xf>
    <xf numFmtId="164" fontId="32" fillId="0" borderId="15" xfId="3" applyNumberFormat="1" applyFont="1" applyBorder="1" applyAlignment="1">
      <alignment vertical="center"/>
    </xf>
    <xf numFmtId="0" fontId="32" fillId="5" borderId="15" xfId="0" applyFont="1" applyFill="1" applyBorder="1" applyAlignment="1">
      <alignment horizontal="center" vertical="center" wrapText="1"/>
    </xf>
    <xf numFmtId="38" fontId="32" fillId="5" borderId="15" xfId="1" applyNumberFormat="1" applyFont="1" applyFill="1" applyBorder="1" applyAlignment="1">
      <alignment horizontal="center" vertical="center" wrapText="1"/>
    </xf>
    <xf numFmtId="40" fontId="32" fillId="5" borderId="15" xfId="1" applyFont="1" applyFill="1" applyBorder="1" applyAlignment="1">
      <alignment horizontal="center" vertical="center" wrapText="1"/>
    </xf>
    <xf numFmtId="40" fontId="32" fillId="5" borderId="15" xfId="0" applyNumberFormat="1" applyFont="1" applyFill="1" applyBorder="1" applyAlignment="1">
      <alignment horizontal="center" vertical="center" wrapText="1"/>
    </xf>
    <xf numFmtId="38" fontId="32" fillId="0" borderId="0" xfId="0" applyNumberFormat="1" applyFont="1"/>
    <xf numFmtId="38" fontId="32" fillId="0" borderId="15" xfId="0" applyNumberFormat="1" applyFont="1" applyBorder="1"/>
    <xf numFmtId="0" fontId="32" fillId="7" borderId="15" xfId="0" applyFont="1" applyFill="1" applyBorder="1" applyAlignment="1">
      <alignment horizontal="center" vertical="center" wrapText="1"/>
    </xf>
    <xf numFmtId="38" fontId="32" fillId="7" borderId="15" xfId="1" applyNumberFormat="1" applyFont="1" applyFill="1" applyBorder="1" applyAlignment="1">
      <alignment horizontal="center" vertical="center" wrapText="1"/>
    </xf>
    <xf numFmtId="0" fontId="32" fillId="8" borderId="15" xfId="0" applyFont="1" applyFill="1" applyBorder="1" applyAlignment="1">
      <alignment horizontal="center" vertical="center" wrapText="1"/>
    </xf>
    <xf numFmtId="38" fontId="32" fillId="8" borderId="15" xfId="1" applyNumberFormat="1" applyFont="1" applyFill="1" applyBorder="1" applyAlignment="1">
      <alignment horizontal="center" vertical="center" wrapText="1"/>
    </xf>
    <xf numFmtId="0" fontId="32" fillId="9" borderId="15" xfId="0" applyFont="1" applyFill="1" applyBorder="1" applyAlignment="1">
      <alignment horizontal="center" vertical="center" wrapText="1"/>
    </xf>
    <xf numFmtId="38" fontId="32" fillId="9" borderId="15" xfId="1" applyNumberFormat="1" applyFont="1" applyFill="1" applyBorder="1" applyAlignment="1">
      <alignment horizontal="center" vertical="center" wrapText="1"/>
    </xf>
    <xf numFmtId="164" fontId="32" fillId="9" borderId="15" xfId="3" applyNumberFormat="1" applyFont="1" applyFill="1" applyBorder="1" applyAlignment="1">
      <alignment horizontal="center" vertical="center" wrapText="1"/>
    </xf>
    <xf numFmtId="164" fontId="32" fillId="5" borderId="15" xfId="3" applyNumberFormat="1" applyFont="1" applyFill="1" applyBorder="1" applyAlignment="1">
      <alignment horizontal="center" vertical="center" wrapText="1"/>
    </xf>
    <xf numFmtId="0" fontId="32" fillId="10" borderId="15" xfId="0" applyFont="1" applyFill="1" applyBorder="1" applyAlignment="1">
      <alignment horizontal="center" vertical="center" wrapText="1"/>
    </xf>
    <xf numFmtId="9" fontId="32" fillId="10" borderId="15" xfId="0" applyNumberFormat="1" applyFont="1" applyFill="1" applyBorder="1" applyAlignment="1">
      <alignment horizontal="center" vertical="center" wrapText="1"/>
    </xf>
    <xf numFmtId="38" fontId="32" fillId="10" borderId="15" xfId="1" applyNumberFormat="1" applyFont="1" applyFill="1" applyBorder="1" applyAlignment="1">
      <alignment horizontal="center" vertical="center" wrapText="1"/>
    </xf>
    <xf numFmtId="164" fontId="32" fillId="10" borderId="15" xfId="3" applyNumberFormat="1" applyFont="1" applyFill="1" applyBorder="1" applyAlignment="1">
      <alignment horizontal="center" vertical="center" wrapText="1"/>
    </xf>
    <xf numFmtId="164" fontId="32" fillId="6" borderId="15" xfId="3" applyNumberFormat="1" applyFont="1" applyFill="1" applyBorder="1" applyAlignment="1">
      <alignment horizontal="center" vertical="center" wrapText="1"/>
    </xf>
    <xf numFmtId="0" fontId="32" fillId="5" borderId="15" xfId="0" applyFont="1" applyFill="1" applyBorder="1" applyAlignment="1">
      <alignment horizontal="center" vertical="center"/>
    </xf>
    <xf numFmtId="0" fontId="32" fillId="5" borderId="15" xfId="0" applyFont="1" applyFill="1" applyBorder="1"/>
    <xf numFmtId="38" fontId="32" fillId="5" borderId="15" xfId="0" applyNumberFormat="1" applyFont="1" applyFill="1" applyBorder="1"/>
    <xf numFmtId="164" fontId="32" fillId="5" borderId="15" xfId="3" applyNumberFormat="1" applyFont="1" applyFill="1" applyBorder="1" applyAlignment="1">
      <alignment vertical="center"/>
    </xf>
    <xf numFmtId="0" fontId="0" fillId="0" borderId="0" xfId="0" applyAlignment="1">
      <alignment horizontal="center"/>
    </xf>
    <xf numFmtId="0" fontId="45" fillId="0" borderId="0" xfId="0" applyFont="1" applyAlignment="1">
      <alignment horizontal="center"/>
    </xf>
    <xf numFmtId="0" fontId="48" fillId="0" borderId="0" xfId="0" applyFont="1" applyAlignment="1">
      <alignment horizontal="center" vertical="top"/>
    </xf>
    <xf numFmtId="0" fontId="45" fillId="0" borderId="0" xfId="0" applyFont="1" applyAlignment="1">
      <alignment horizontal="left" vertical="center" wrapText="1"/>
    </xf>
    <xf numFmtId="0" fontId="50" fillId="0" borderId="15" xfId="0" applyFont="1" applyBorder="1" applyAlignment="1">
      <alignment horizontal="center" vertical="center" wrapText="1"/>
    </xf>
    <xf numFmtId="0" fontId="45" fillId="0" borderId="15" xfId="0" applyFont="1" applyBorder="1" applyAlignment="1">
      <alignment horizontal="center" vertical="center" wrapText="1"/>
    </xf>
    <xf numFmtId="0" fontId="50" fillId="0" borderId="15" xfId="6" applyFont="1" applyBorder="1" applyAlignment="1" applyProtection="1">
      <alignment horizontal="left" vertical="center" wrapText="1"/>
    </xf>
    <xf numFmtId="0" fontId="51" fillId="0" borderId="15" xfId="0" applyFont="1" applyBorder="1" applyAlignment="1">
      <alignment horizontal="center" vertical="center" wrapText="1"/>
    </xf>
    <xf numFmtId="175" fontId="52" fillId="0" borderId="15" xfId="1" applyNumberFormat="1" applyFont="1" applyBorder="1" applyAlignment="1">
      <alignment horizontal="center" vertical="center" wrapText="1"/>
    </xf>
    <xf numFmtId="175" fontId="53" fillId="0" borderId="15" xfId="1" applyNumberFormat="1" applyFont="1" applyBorder="1" applyAlignment="1">
      <alignment horizontal="center" vertical="center" wrapText="1"/>
    </xf>
    <xf numFmtId="0" fontId="50" fillId="0" borderId="15" xfId="0" applyFont="1" applyBorder="1" applyAlignment="1">
      <alignment horizontal="left" vertical="center" wrapText="1"/>
    </xf>
    <xf numFmtId="0" fontId="54" fillId="0" borderId="15" xfId="0" applyFont="1" applyBorder="1" applyAlignment="1">
      <alignment horizontal="center" vertical="center" wrapText="1"/>
    </xf>
    <xf numFmtId="3" fontId="54" fillId="0" borderId="15" xfId="0" applyNumberFormat="1" applyFont="1" applyBorder="1" applyAlignment="1">
      <alignment horizontal="right" vertical="center" wrapText="1"/>
    </xf>
    <xf numFmtId="176" fontId="51" fillId="0" borderId="15" xfId="1" applyNumberFormat="1" applyFont="1" applyBorder="1" applyAlignment="1">
      <alignment horizontal="center" vertical="center" wrapText="1"/>
    </xf>
    <xf numFmtId="0" fontId="54" fillId="0" borderId="15" xfId="0" applyFont="1" applyBorder="1" applyAlignment="1">
      <alignment horizontal="right" vertical="center" wrapText="1"/>
    </xf>
    <xf numFmtId="175" fontId="45" fillId="0" borderId="15" xfId="1" applyNumberFormat="1" applyFont="1" applyBorder="1" applyAlignment="1">
      <alignment horizontal="center" vertical="center" wrapText="1"/>
    </xf>
    <xf numFmtId="175" fontId="45" fillId="0" borderId="16" xfId="1" applyNumberFormat="1" applyFont="1" applyBorder="1" applyAlignment="1">
      <alignment horizontal="center" vertical="center" wrapText="1"/>
    </xf>
    <xf numFmtId="175" fontId="45" fillId="0" borderId="33" xfId="1" applyNumberFormat="1" applyFont="1" applyBorder="1" applyAlignment="1">
      <alignment horizontal="center" vertical="center" wrapText="1"/>
    </xf>
    <xf numFmtId="0" fontId="54" fillId="0" borderId="15" xfId="0" applyFont="1" applyBorder="1" applyAlignment="1">
      <alignment horizontal="left" vertical="center" wrapText="1"/>
    </xf>
    <xf numFmtId="176" fontId="51" fillId="0" borderId="15" xfId="1" applyNumberFormat="1" applyFont="1" applyBorder="1" applyAlignment="1">
      <alignment horizontal="right" vertical="center" wrapText="1"/>
    </xf>
    <xf numFmtId="9" fontId="55" fillId="0" borderId="15" xfId="3" applyFont="1" applyBorder="1" applyAlignment="1">
      <alignment horizontal="center" vertical="center" wrapText="1"/>
    </xf>
    <xf numFmtId="176" fontId="55" fillId="0" borderId="15" xfId="1" applyNumberFormat="1" applyFont="1" applyBorder="1" applyAlignment="1">
      <alignment horizontal="center" vertical="center" wrapText="1"/>
    </xf>
    <xf numFmtId="176" fontId="52" fillId="0" borderId="15" xfId="1" applyNumberFormat="1" applyFont="1" applyBorder="1" applyAlignment="1">
      <alignment horizontal="center" vertical="center" wrapText="1"/>
    </xf>
    <xf numFmtId="175" fontId="56" fillId="0" borderId="15" xfId="1" applyNumberFormat="1" applyFont="1" applyBorder="1" applyAlignment="1">
      <alignment horizontal="center" vertical="center" wrapText="1"/>
    </xf>
    <xf numFmtId="38" fontId="57" fillId="0" borderId="15" xfId="1" applyNumberFormat="1" applyFont="1" applyBorder="1" applyAlignment="1">
      <alignment horizontal="center" vertical="center" wrapText="1"/>
    </xf>
    <xf numFmtId="9" fontId="55" fillId="0" borderId="16" xfId="0" applyNumberFormat="1" applyFont="1" applyBorder="1" applyAlignment="1">
      <alignment horizontal="center" vertical="center" wrapText="1"/>
    </xf>
    <xf numFmtId="40" fontId="55" fillId="0" borderId="15" xfId="1" applyFont="1" applyBorder="1" applyAlignment="1">
      <alignment horizontal="center" vertical="center" wrapText="1"/>
    </xf>
    <xf numFmtId="175" fontId="55" fillId="0" borderId="15" xfId="1" applyNumberFormat="1" applyFont="1" applyBorder="1" applyAlignment="1">
      <alignment horizontal="center" vertical="center" wrapText="1"/>
    </xf>
    <xf numFmtId="164" fontId="55" fillId="0" borderId="15" xfId="3" applyNumberFormat="1" applyFont="1" applyBorder="1" applyAlignment="1">
      <alignment horizontal="center" vertical="center" wrapText="1"/>
    </xf>
    <xf numFmtId="4" fontId="54" fillId="0" borderId="15" xfId="0" applyNumberFormat="1" applyFont="1" applyBorder="1" applyAlignment="1">
      <alignment horizontal="center" vertical="center" wrapText="1"/>
    </xf>
    <xf numFmtId="3" fontId="55" fillId="0" borderId="15" xfId="0" applyNumberFormat="1" applyFont="1" applyBorder="1" applyAlignment="1">
      <alignment horizontal="center" vertical="center" wrapText="1"/>
    </xf>
    <xf numFmtId="38" fontId="55" fillId="0" borderId="16" xfId="1" applyNumberFormat="1" applyFont="1" applyBorder="1" applyAlignment="1">
      <alignment horizontal="center" vertical="center" wrapText="1"/>
    </xf>
    <xf numFmtId="38" fontId="55" fillId="0" borderId="19" xfId="1" applyNumberFormat="1" applyFont="1" applyBorder="1" applyAlignment="1">
      <alignment horizontal="center" vertical="center" wrapText="1"/>
    </xf>
    <xf numFmtId="38" fontId="55" fillId="0" borderId="33" xfId="1" applyNumberFormat="1" applyFont="1" applyBorder="1" applyAlignment="1">
      <alignment horizontal="center" vertical="center" wrapText="1"/>
    </xf>
    <xf numFmtId="40" fontId="0" fillId="0" borderId="0" xfId="1" applyFont="1" applyAlignment="1">
      <alignment horizontal="center"/>
    </xf>
    <xf numFmtId="0" fontId="13" fillId="0" borderId="0" xfId="9" applyFont="1" applyAlignment="1">
      <alignment vertical="center"/>
    </xf>
    <xf numFmtId="0" fontId="59" fillId="0" borderId="0" xfId="9" applyFont="1" applyAlignment="1">
      <alignment horizontal="right" vertical="center"/>
    </xf>
    <xf numFmtId="0" fontId="13" fillId="0" borderId="55" xfId="9" applyFont="1" applyBorder="1" applyAlignment="1">
      <alignment vertical="center"/>
    </xf>
    <xf numFmtId="0" fontId="15" fillId="0" borderId="56" xfId="9" applyFont="1" applyBorder="1" applyAlignment="1">
      <alignment horizontal="centerContinuous" vertical="center"/>
    </xf>
    <xf numFmtId="0" fontId="13" fillId="0" borderId="0" xfId="9" applyFont="1" applyAlignment="1">
      <alignment horizontal="right" vertical="center"/>
    </xf>
    <xf numFmtId="0" fontId="13" fillId="0" borderId="0" xfId="9" applyFont="1" applyAlignment="1">
      <alignment horizontal="center" vertical="center"/>
    </xf>
    <xf numFmtId="2" fontId="13" fillId="0" borderId="0" xfId="9" applyNumberFormat="1" applyFont="1" applyAlignment="1">
      <alignment horizontal="center" vertical="center"/>
    </xf>
    <xf numFmtId="2" fontId="13" fillId="0" borderId="0" xfId="9" applyNumberFormat="1" applyFont="1" applyAlignment="1">
      <alignment vertical="center"/>
    </xf>
    <xf numFmtId="0" fontId="60" fillId="0" borderId="0" xfId="9" applyFont="1" applyAlignment="1">
      <alignment vertical="center"/>
    </xf>
    <xf numFmtId="0" fontId="13" fillId="0" borderId="57" xfId="9" applyFont="1" applyBorder="1" applyAlignment="1">
      <alignment vertical="center"/>
    </xf>
    <xf numFmtId="0" fontId="61" fillId="3" borderId="57" xfId="9" applyFont="1" applyFill="1" applyBorder="1" applyAlignment="1">
      <alignment vertical="center"/>
    </xf>
    <xf numFmtId="1" fontId="61" fillId="3" borderId="57" xfId="9" applyNumberFormat="1" applyFont="1" applyFill="1" applyBorder="1" applyAlignment="1">
      <alignment vertical="center"/>
    </xf>
    <xf numFmtId="0" fontId="7" fillId="0" borderId="58" xfId="9" applyFont="1" applyBorder="1" applyAlignment="1">
      <alignment horizontal="center" vertical="center"/>
    </xf>
    <xf numFmtId="0" fontId="14" fillId="0" borderId="59" xfId="9" applyFont="1" applyBorder="1" applyAlignment="1">
      <alignment horizontal="center" vertical="center" wrapText="1"/>
    </xf>
    <xf numFmtId="0" fontId="62" fillId="3" borderId="59" xfId="9" applyFont="1" applyFill="1" applyBorder="1" applyAlignment="1">
      <alignment horizontal="center" vertical="center" wrapText="1"/>
    </xf>
    <xf numFmtId="0" fontId="59" fillId="0" borderId="60" xfId="10" applyFont="1" applyBorder="1" applyAlignment="1">
      <alignment vertical="center"/>
    </xf>
    <xf numFmtId="0" fontId="59" fillId="0" borderId="0" xfId="10" applyFont="1" applyAlignment="1">
      <alignment vertical="center"/>
    </xf>
    <xf numFmtId="0" fontId="59" fillId="0" borderId="61" xfId="10" applyFont="1" applyBorder="1" applyAlignment="1">
      <alignment vertical="center"/>
    </xf>
    <xf numFmtId="0" fontId="13" fillId="0" borderId="0" xfId="10" applyFont="1" applyAlignment="1">
      <alignment vertical="center"/>
    </xf>
    <xf numFmtId="0" fontId="18" fillId="0" borderId="60" xfId="10" applyFont="1" applyBorder="1" applyAlignment="1">
      <alignment horizontal="center" vertical="center"/>
    </xf>
    <xf numFmtId="0" fontId="13" fillId="0" borderId="61" xfId="10" applyFont="1" applyBorder="1" applyAlignment="1">
      <alignment vertical="center"/>
    </xf>
    <xf numFmtId="0" fontId="63" fillId="0" borderId="60" xfId="9" applyFont="1" applyBorder="1" applyAlignment="1">
      <alignment horizontal="left" vertical="center"/>
    </xf>
    <xf numFmtId="0" fontId="59" fillId="0" borderId="0" xfId="9" applyFont="1" applyAlignment="1">
      <alignment vertical="center"/>
    </xf>
    <xf numFmtId="0" fontId="13" fillId="0" borderId="61" xfId="9" applyFont="1" applyBorder="1" applyAlignment="1">
      <alignment vertical="center"/>
    </xf>
    <xf numFmtId="0" fontId="13" fillId="0" borderId="62" xfId="9" applyFont="1" applyBorder="1" applyAlignment="1">
      <alignment vertical="center"/>
    </xf>
    <xf numFmtId="49" fontId="59" fillId="0" borderId="63" xfId="9" applyNumberFormat="1" applyFont="1" applyBorder="1" applyAlignment="1">
      <alignment horizontal="center" vertical="center"/>
    </xf>
    <xf numFmtId="4" fontId="61" fillId="3" borderId="63" xfId="9" applyNumberFormat="1" applyFont="1" applyFill="1" applyBorder="1" applyAlignment="1">
      <alignment horizontal="center" vertical="center"/>
    </xf>
    <xf numFmtId="4" fontId="61" fillId="3" borderId="64" xfId="9" applyNumberFormat="1" applyFont="1" applyFill="1" applyBorder="1" applyAlignment="1">
      <alignment horizontal="center" vertical="center"/>
    </xf>
    <xf numFmtId="0" fontId="64" fillId="0" borderId="62" xfId="9" applyFont="1" applyBorder="1" applyAlignment="1">
      <alignment vertical="center"/>
    </xf>
    <xf numFmtId="4" fontId="18" fillId="0" borderId="63" xfId="9" applyNumberFormat="1" applyFont="1" applyBorder="1" applyAlignment="1">
      <alignment horizontal="center" vertical="center" wrapText="1"/>
    </xf>
    <xf numFmtId="3" fontId="18" fillId="0" borderId="63" xfId="9" applyNumberFormat="1" applyFont="1" applyBorder="1" applyAlignment="1">
      <alignment horizontal="center" vertical="center" wrapText="1"/>
    </xf>
    <xf numFmtId="3" fontId="18" fillId="0" borderId="64" xfId="9" applyNumberFormat="1" applyFont="1" applyBorder="1" applyAlignment="1">
      <alignment horizontal="center" vertical="center" wrapText="1"/>
    </xf>
    <xf numFmtId="49" fontId="59" fillId="0" borderId="0" xfId="9" applyNumberFormat="1" applyFont="1" applyAlignment="1">
      <alignment horizontal="center" vertical="center"/>
    </xf>
    <xf numFmtId="4" fontId="13" fillId="0" borderId="0" xfId="9" applyNumberFormat="1" applyFont="1" applyAlignment="1">
      <alignment horizontal="center" vertical="center"/>
    </xf>
    <xf numFmtId="4" fontId="13" fillId="0" borderId="0" xfId="9" applyNumberFormat="1" applyFont="1" applyAlignment="1">
      <alignment vertical="center"/>
    </xf>
    <xf numFmtId="4" fontId="18" fillId="0" borderId="64" xfId="9" applyNumberFormat="1" applyFont="1" applyBorder="1" applyAlignment="1">
      <alignment horizontal="center" vertical="center" wrapText="1"/>
    </xf>
    <xf numFmtId="0" fontId="18" fillId="0" borderId="62" xfId="9" applyFont="1" applyBorder="1" applyAlignment="1">
      <alignment horizontal="left" vertical="center" wrapText="1"/>
    </xf>
    <xf numFmtId="4" fontId="18" fillId="0" borderId="63" xfId="9" applyNumberFormat="1" applyFont="1" applyBorder="1" applyAlignment="1">
      <alignment horizontal="center" vertical="center"/>
    </xf>
    <xf numFmtId="4" fontId="18" fillId="0" borderId="64" xfId="9" applyNumberFormat="1" applyFont="1" applyBorder="1" applyAlignment="1">
      <alignment horizontal="center" vertical="center"/>
    </xf>
    <xf numFmtId="0" fontId="13" fillId="0" borderId="60" xfId="9" applyFont="1" applyBorder="1" applyAlignment="1">
      <alignment vertical="center"/>
    </xf>
    <xf numFmtId="0" fontId="18" fillId="0" borderId="60" xfId="9" applyFont="1" applyBorder="1" applyAlignment="1">
      <alignment horizontal="center" vertical="center"/>
    </xf>
    <xf numFmtId="4" fontId="65" fillId="0" borderId="0" xfId="9" applyNumberFormat="1" applyFont="1" applyAlignment="1">
      <alignment horizontal="center" vertical="center"/>
    </xf>
    <xf numFmtId="4" fontId="65" fillId="0" borderId="61" xfId="9" applyNumberFormat="1" applyFont="1" applyBorder="1" applyAlignment="1">
      <alignment horizontal="center" vertical="center"/>
    </xf>
    <xf numFmtId="0" fontId="13" fillId="0" borderId="65" xfId="9" applyFont="1" applyBorder="1" applyAlignment="1">
      <alignment horizontal="center" vertical="center"/>
    </xf>
    <xf numFmtId="49" fontId="13" fillId="0" borderId="62" xfId="9" applyNumberFormat="1" applyFont="1" applyBorder="1" applyAlignment="1">
      <alignment vertical="center"/>
    </xf>
    <xf numFmtId="49" fontId="18" fillId="0" borderId="62" xfId="9" applyNumberFormat="1" applyFont="1" applyBorder="1" applyAlignment="1">
      <alignment horizontal="left" vertical="center" wrapText="1"/>
    </xf>
    <xf numFmtId="4" fontId="66" fillId="0" borderId="63" xfId="9" applyNumberFormat="1" applyFont="1" applyBorder="1" applyAlignment="1">
      <alignment horizontal="center" vertical="center"/>
    </xf>
    <xf numFmtId="4" fontId="66" fillId="0" borderId="64" xfId="9" applyNumberFormat="1" applyFont="1" applyBorder="1" applyAlignment="1">
      <alignment horizontal="center" vertical="center"/>
    </xf>
    <xf numFmtId="49" fontId="18" fillId="0" borderId="66" xfId="9" applyNumberFormat="1" applyFont="1" applyBorder="1" applyAlignment="1">
      <alignment vertical="center"/>
    </xf>
    <xf numFmtId="49" fontId="59" fillId="0" borderId="57" xfId="9" applyNumberFormat="1" applyFont="1" applyBorder="1" applyAlignment="1">
      <alignment horizontal="center" vertical="center"/>
    </xf>
    <xf numFmtId="4" fontId="64" fillId="0" borderId="57" xfId="9" applyNumberFormat="1" applyFont="1" applyBorder="1" applyAlignment="1">
      <alignment horizontal="center" vertical="center"/>
    </xf>
    <xf numFmtId="4" fontId="64" fillId="0" borderId="67" xfId="9" applyNumberFormat="1" applyFont="1" applyBorder="1" applyAlignment="1">
      <alignment horizontal="center" vertical="center"/>
    </xf>
    <xf numFmtId="49" fontId="13" fillId="0" borderId="0" xfId="9" applyNumberFormat="1" applyFont="1" applyAlignment="1">
      <alignment vertical="center"/>
    </xf>
    <xf numFmtId="49" fontId="59" fillId="0" borderId="0" xfId="9" applyNumberFormat="1" applyFont="1" applyAlignment="1">
      <alignment vertical="center"/>
    </xf>
    <xf numFmtId="49" fontId="7" fillId="0" borderId="58" xfId="9" applyNumberFormat="1" applyFont="1" applyBorder="1" applyAlignment="1">
      <alignment horizontal="center" vertical="center"/>
    </xf>
    <xf numFmtId="0" fontId="14" fillId="0" borderId="68" xfId="9" applyFont="1" applyBorder="1" applyAlignment="1">
      <alignment horizontal="center" vertical="center" wrapText="1"/>
    </xf>
    <xf numFmtId="49" fontId="18" fillId="0" borderId="60" xfId="9" applyNumberFormat="1" applyFont="1" applyBorder="1" applyAlignment="1">
      <alignment horizontal="center" vertical="center"/>
    </xf>
    <xf numFmtId="4" fontId="64" fillId="0" borderId="63" xfId="9" applyNumberFormat="1" applyFont="1" applyBorder="1" applyAlignment="1">
      <alignment horizontal="center" vertical="center"/>
    </xf>
    <xf numFmtId="4" fontId="64" fillId="0" borderId="64" xfId="9" applyNumberFormat="1" applyFont="1" applyBorder="1" applyAlignment="1">
      <alignment horizontal="center" vertical="center"/>
    </xf>
    <xf numFmtId="49" fontId="18" fillId="0" borderId="60" xfId="9" applyNumberFormat="1" applyFont="1" applyBorder="1" applyAlignment="1">
      <alignment horizontal="left" vertical="center" wrapText="1"/>
    </xf>
    <xf numFmtId="4" fontId="13" fillId="0" borderId="61" xfId="9" applyNumberFormat="1" applyFont="1" applyBorder="1" applyAlignment="1">
      <alignment vertical="center"/>
    </xf>
    <xf numFmtId="49" fontId="11" fillId="0" borderId="60" xfId="9" applyNumberFormat="1" applyFont="1" applyBorder="1" applyAlignment="1">
      <alignment horizontal="center" vertical="center"/>
    </xf>
    <xf numFmtId="49" fontId="13" fillId="0" borderId="62" xfId="9" applyNumberFormat="1" applyFont="1" applyBorder="1" applyAlignment="1">
      <alignment horizontal="left" vertical="center" wrapText="1"/>
    </xf>
    <xf numFmtId="49" fontId="63" fillId="0" borderId="60" xfId="9" applyNumberFormat="1" applyFont="1" applyBorder="1" applyAlignment="1">
      <alignment horizontal="left" vertical="center"/>
    </xf>
    <xf numFmtId="49" fontId="59" fillId="0" borderId="69" xfId="9" applyNumberFormat="1" applyFont="1" applyBorder="1" applyAlignment="1">
      <alignment horizontal="center" vertical="center"/>
    </xf>
    <xf numFmtId="4" fontId="61" fillId="0" borderId="69" xfId="9" applyNumberFormat="1" applyFont="1" applyBorder="1" applyAlignment="1">
      <alignment horizontal="center" vertical="center"/>
    </xf>
    <xf numFmtId="4" fontId="61" fillId="0" borderId="69" xfId="9" applyNumberFormat="1" applyFont="1" applyBorder="1" applyAlignment="1">
      <alignment vertical="center"/>
    </xf>
    <xf numFmtId="4" fontId="61" fillId="0" borderId="61" xfId="9" applyNumberFormat="1" applyFont="1" applyBorder="1" applyAlignment="1">
      <alignment vertical="center"/>
    </xf>
    <xf numFmtId="0" fontId="59" fillId="0" borderId="63" xfId="9" applyFont="1" applyBorder="1" applyAlignment="1">
      <alignment horizontal="center" vertical="center"/>
    </xf>
    <xf numFmtId="0" fontId="63" fillId="0" borderId="63" xfId="9" applyFont="1" applyBorder="1" applyAlignment="1">
      <alignment horizontal="center" vertical="center"/>
    </xf>
    <xf numFmtId="0" fontId="63" fillId="0" borderId="57" xfId="9" applyFont="1" applyBorder="1" applyAlignment="1">
      <alignment horizontal="center" vertical="center"/>
    </xf>
    <xf numFmtId="4" fontId="18" fillId="0" borderId="57" xfId="9" applyNumberFormat="1" applyFont="1" applyBorder="1" applyAlignment="1">
      <alignment horizontal="center" vertical="center"/>
    </xf>
    <xf numFmtId="4" fontId="18" fillId="0" borderId="67" xfId="9" applyNumberFormat="1" applyFont="1" applyBorder="1" applyAlignment="1">
      <alignment horizontal="center" vertical="center"/>
    </xf>
    <xf numFmtId="49" fontId="67" fillId="0" borderId="70" xfId="9" applyNumberFormat="1" applyFont="1" applyBorder="1" applyAlignment="1">
      <alignment horizontal="right" vertical="center"/>
    </xf>
    <xf numFmtId="0" fontId="67" fillId="0" borderId="71" xfId="9" applyFont="1" applyBorder="1" applyAlignment="1">
      <alignment vertical="center"/>
    </xf>
    <xf numFmtId="2" fontId="67" fillId="0" borderId="71" xfId="9" applyNumberFormat="1" applyFont="1" applyBorder="1" applyAlignment="1">
      <alignment horizontal="center" vertical="center"/>
    </xf>
    <xf numFmtId="4" fontId="67" fillId="0" borderId="71" xfId="9" applyNumberFormat="1" applyFont="1" applyBorder="1" applyAlignment="1">
      <alignment horizontal="center" vertical="center"/>
    </xf>
    <xf numFmtId="3" fontId="67" fillId="0" borderId="72" xfId="9" applyNumberFormat="1" applyFont="1" applyBorder="1" applyAlignment="1">
      <alignment horizontal="center" vertical="center"/>
    </xf>
    <xf numFmtId="0" fontId="64" fillId="0" borderId="0" xfId="9" applyFont="1" applyAlignment="1">
      <alignment vertical="center"/>
    </xf>
    <xf numFmtId="49" fontId="60" fillId="0" borderId="0" xfId="10" applyNumberFormat="1" applyFont="1" applyAlignment="1">
      <alignment vertical="center"/>
    </xf>
    <xf numFmtId="49" fontId="13" fillId="0" borderId="73" xfId="10" applyNumberFormat="1" applyFont="1" applyBorder="1" applyAlignment="1">
      <alignment horizontal="left" vertical="center"/>
    </xf>
    <xf numFmtId="49" fontId="63" fillId="0" borderId="73" xfId="10" applyNumberFormat="1" applyFont="1" applyBorder="1" applyAlignment="1">
      <alignment horizontal="center" vertical="center"/>
    </xf>
    <xf numFmtId="4" fontId="61" fillId="0" borderId="73" xfId="11" applyNumberFormat="1" applyFont="1" applyBorder="1" applyAlignment="1">
      <alignment horizontal="center" vertical="center" wrapText="1"/>
    </xf>
    <xf numFmtId="4" fontId="18" fillId="0" borderId="0" xfId="11" applyNumberFormat="1" applyFont="1" applyAlignment="1">
      <alignment horizontal="center" vertical="center" wrapText="1"/>
    </xf>
    <xf numFmtId="49" fontId="13" fillId="0" borderId="74" xfId="9" applyNumberFormat="1" applyFont="1" applyBorder="1" applyAlignment="1">
      <alignment vertical="center"/>
    </xf>
    <xf numFmtId="0" fontId="13" fillId="0" borderId="75" xfId="9" applyFont="1" applyBorder="1" applyAlignment="1">
      <alignment horizontal="center" vertical="center"/>
    </xf>
    <xf numFmtId="0" fontId="13" fillId="0" borderId="76" xfId="9" applyFont="1" applyBorder="1" applyAlignment="1">
      <alignment horizontal="centerContinuous" vertical="center"/>
    </xf>
    <xf numFmtId="0" fontId="13" fillId="0" borderId="77" xfId="9" applyFont="1" applyBorder="1" applyAlignment="1">
      <alignment horizontal="centerContinuous" vertical="center"/>
    </xf>
    <xf numFmtId="0" fontId="13" fillId="0" borderId="58" xfId="9" applyFont="1" applyBorder="1" applyAlignment="1">
      <alignment horizontal="centerContinuous" vertical="center"/>
    </xf>
    <xf numFmtId="0" fontId="13" fillId="0" borderId="68" xfId="9" applyFont="1" applyBorder="1" applyAlignment="1">
      <alignment horizontal="centerContinuous" vertical="center"/>
    </xf>
    <xf numFmtId="49" fontId="13" fillId="0" borderId="78" xfId="9" applyNumberFormat="1" applyFont="1" applyBorder="1" applyAlignment="1">
      <alignment vertical="center"/>
    </xf>
    <xf numFmtId="0" fontId="13" fillId="0" borderId="79" xfId="9" applyFont="1" applyBorder="1" applyAlignment="1">
      <alignment horizontal="center" vertical="center"/>
    </xf>
    <xf numFmtId="0" fontId="13" fillId="0" borderId="62" xfId="9" applyFont="1" applyBorder="1" applyAlignment="1">
      <alignment horizontal="center" vertical="center"/>
    </xf>
    <xf numFmtId="0" fontId="13" fillId="0" borderId="64" xfId="9" applyFont="1" applyBorder="1" applyAlignment="1">
      <alignment horizontal="center" vertical="center"/>
    </xf>
    <xf numFmtId="1" fontId="59" fillId="0" borderId="63" xfId="9" applyNumberFormat="1" applyFont="1" applyBorder="1" applyAlignment="1">
      <alignment horizontal="center" vertical="center"/>
    </xf>
    <xf numFmtId="4" fontId="61" fillId="3" borderId="62" xfId="9" applyNumberFormat="1" applyFont="1" applyFill="1" applyBorder="1" applyAlignment="1">
      <alignment horizontal="center" vertical="center" wrapText="1"/>
    </xf>
    <xf numFmtId="4" fontId="69" fillId="0" borderId="64" xfId="9" applyNumberFormat="1" applyFont="1" applyBorder="1" applyAlignment="1">
      <alignment horizontal="center" vertical="center"/>
    </xf>
    <xf numFmtId="4" fontId="13" fillId="0" borderId="62" xfId="9" applyNumberFormat="1" applyFont="1" applyBorder="1" applyAlignment="1">
      <alignment horizontal="center" vertical="center" wrapText="1"/>
    </xf>
    <xf numFmtId="49" fontId="18" fillId="0" borderId="62" xfId="9" applyNumberFormat="1" applyFont="1" applyBorder="1" applyAlignment="1">
      <alignment vertical="center"/>
    </xf>
    <xf numFmtId="4" fontId="18" fillId="0" borderId="62" xfId="11" applyNumberFormat="1" applyFont="1" applyBorder="1" applyAlignment="1">
      <alignment horizontal="center" vertical="center" wrapText="1"/>
    </xf>
    <xf numFmtId="49" fontId="13" fillId="0" borderId="62" xfId="9" applyNumberFormat="1" applyFont="1" applyBorder="1" applyAlignment="1">
      <alignment vertical="center" wrapText="1"/>
    </xf>
    <xf numFmtId="4" fontId="13" fillId="0" borderId="62" xfId="9" applyNumberFormat="1" applyFont="1" applyBorder="1" applyAlignment="1">
      <alignment horizontal="center" vertical="center"/>
    </xf>
    <xf numFmtId="4" fontId="61" fillId="0" borderId="64" xfId="9" applyNumberFormat="1" applyFont="1" applyBorder="1" applyAlignment="1">
      <alignment horizontal="center" vertical="center"/>
    </xf>
    <xf numFmtId="4" fontId="18" fillId="0" borderId="64" xfId="11" applyNumberFormat="1" applyFont="1" applyBorder="1" applyAlignment="1">
      <alignment horizontal="center" vertical="center" wrapText="1"/>
    </xf>
    <xf numFmtId="0" fontId="59" fillId="0" borderId="80" xfId="9" applyFont="1" applyBorder="1" applyAlignment="1">
      <alignment horizontal="center" vertical="center"/>
    </xf>
    <xf numFmtId="4" fontId="61" fillId="3" borderId="62" xfId="9" applyNumberFormat="1" applyFont="1" applyFill="1" applyBorder="1" applyAlignment="1">
      <alignment horizontal="center" vertical="center"/>
    </xf>
    <xf numFmtId="4" fontId="13" fillId="0" borderId="64" xfId="9" applyNumberFormat="1" applyFont="1" applyBorder="1" applyAlignment="1">
      <alignment horizontal="center" vertical="center"/>
    </xf>
    <xf numFmtId="49" fontId="18" fillId="0" borderId="62" xfId="9" applyNumberFormat="1" applyFont="1" applyBorder="1" applyAlignment="1">
      <alignment vertical="center" wrapText="1"/>
    </xf>
    <xf numFmtId="4" fontId="69" fillId="0" borderId="62" xfId="9" applyNumberFormat="1" applyFont="1" applyBorder="1" applyAlignment="1">
      <alignment horizontal="center" vertical="center"/>
    </xf>
    <xf numFmtId="0" fontId="59" fillId="0" borderId="57" xfId="9" applyFont="1" applyBorder="1" applyAlignment="1">
      <alignment horizontal="center" vertical="center"/>
    </xf>
    <xf numFmtId="4" fontId="18" fillId="0" borderId="66" xfId="11" applyNumberFormat="1" applyFont="1" applyBorder="1" applyAlignment="1">
      <alignment horizontal="center" vertical="center" wrapText="1"/>
    </xf>
    <xf numFmtId="4" fontId="18" fillId="0" borderId="67" xfId="11" applyNumberFormat="1" applyFont="1" applyBorder="1" applyAlignment="1">
      <alignment horizontal="center" vertical="center" wrapText="1"/>
    </xf>
    <xf numFmtId="49" fontId="7" fillId="0" borderId="0" xfId="10" applyNumberFormat="1" applyFont="1" applyAlignment="1">
      <alignment horizontal="right" vertical="center"/>
    </xf>
    <xf numFmtId="0" fontId="70" fillId="0" borderId="0" xfId="10" applyFont="1" applyAlignment="1">
      <alignment vertical="center"/>
    </xf>
    <xf numFmtId="0" fontId="13" fillId="0" borderId="0" xfId="10" applyFont="1" applyAlignment="1">
      <alignment horizontal="center" vertical="center"/>
    </xf>
    <xf numFmtId="49" fontId="13" fillId="0" borderId="0" xfId="10" applyNumberFormat="1" applyFont="1" applyAlignment="1">
      <alignment vertical="center"/>
    </xf>
    <xf numFmtId="0" fontId="18" fillId="0" borderId="73" xfId="10" applyFont="1" applyBorder="1" applyAlignment="1">
      <alignment horizontal="center" vertical="center"/>
    </xf>
    <xf numFmtId="0" fontId="18" fillId="0" borderId="73" xfId="10" applyFont="1" applyBorder="1" applyAlignment="1">
      <alignment horizontal="center" vertical="center" wrapText="1"/>
    </xf>
    <xf numFmtId="0" fontId="18" fillId="0" borderId="0" xfId="10" applyFont="1" applyAlignment="1">
      <alignment vertical="center"/>
    </xf>
    <xf numFmtId="49" fontId="13" fillId="0" borderId="81" xfId="9" applyNumberFormat="1" applyFont="1" applyBorder="1" applyAlignment="1">
      <alignment horizontal="left" vertical="center"/>
    </xf>
    <xf numFmtId="0" fontId="13" fillId="0" borderId="81" xfId="9" applyFont="1" applyBorder="1" applyAlignment="1">
      <alignment horizontal="center" vertical="center"/>
    </xf>
    <xf numFmtId="4" fontId="71" fillId="0" borderId="73" xfId="9" applyNumberFormat="1" applyFont="1" applyBorder="1" applyAlignment="1">
      <alignment horizontal="center" vertical="center"/>
    </xf>
    <xf numFmtId="0" fontId="71" fillId="0" borderId="0" xfId="9" applyFont="1" applyAlignment="1">
      <alignment horizontal="center" vertical="center"/>
    </xf>
    <xf numFmtId="10" fontId="72" fillId="0" borderId="73" xfId="3" applyNumberFormat="1" applyFont="1" applyBorder="1" applyAlignment="1">
      <alignment horizontal="center" vertical="center"/>
    </xf>
    <xf numFmtId="10" fontId="71" fillId="0" borderId="73" xfId="3" applyNumberFormat="1" applyFont="1" applyBorder="1" applyAlignment="1">
      <alignment horizontal="center" vertical="center"/>
    </xf>
    <xf numFmtId="3" fontId="71" fillId="0" borderId="0" xfId="9" applyNumberFormat="1" applyFont="1" applyAlignment="1">
      <alignment horizontal="center" vertical="center"/>
    </xf>
    <xf numFmtId="49" fontId="69" fillId="0" borderId="81" xfId="10" applyNumberFormat="1" applyFont="1" applyBorder="1" applyAlignment="1">
      <alignment horizontal="left" vertical="center"/>
    </xf>
    <xf numFmtId="0" fontId="8" fillId="0" borderId="81" xfId="12" applyFont="1" applyBorder="1" applyAlignment="1">
      <alignment vertical="center"/>
    </xf>
    <xf numFmtId="0" fontId="8" fillId="0" borderId="0" xfId="12" applyFont="1" applyAlignment="1">
      <alignment vertical="center"/>
    </xf>
    <xf numFmtId="0" fontId="10" fillId="0" borderId="0" xfId="10" applyAlignment="1">
      <alignment vertical="center"/>
    </xf>
    <xf numFmtId="49" fontId="13" fillId="0" borderId="82" xfId="9" applyNumberFormat="1" applyFont="1" applyBorder="1" applyAlignment="1">
      <alignment horizontal="left" vertical="center"/>
    </xf>
    <xf numFmtId="0" fontId="13" fillId="0" borderId="82" xfId="9" applyFont="1" applyBorder="1" applyAlignment="1">
      <alignment horizontal="center" vertical="center"/>
    </xf>
    <xf numFmtId="0" fontId="73" fillId="0" borderId="81" xfId="12" applyFont="1" applyBorder="1" applyAlignment="1">
      <alignment vertical="center"/>
    </xf>
    <xf numFmtId="0" fontId="74" fillId="0" borderId="81" xfId="12" applyFont="1" applyBorder="1" applyAlignment="1">
      <alignment vertical="center"/>
    </xf>
    <xf numFmtId="10" fontId="63" fillId="0" borderId="73" xfId="3" applyNumberFormat="1" applyFont="1" applyBorder="1" applyAlignment="1">
      <alignment horizontal="center" vertical="center" wrapText="1"/>
    </xf>
    <xf numFmtId="10" fontId="63" fillId="0" borderId="73" xfId="12" applyNumberFormat="1" applyFont="1" applyBorder="1" applyAlignment="1">
      <alignment horizontal="center" vertical="center" wrapText="1"/>
    </xf>
    <xf numFmtId="0" fontId="61" fillId="0" borderId="81" xfId="13" applyFont="1" applyBorder="1" applyAlignment="1">
      <alignment vertical="center"/>
    </xf>
    <xf numFmtId="0" fontId="75" fillId="0" borderId="81" xfId="12" applyFont="1" applyBorder="1" applyAlignment="1">
      <alignment vertical="center"/>
    </xf>
    <xf numFmtId="2" fontId="71" fillId="0" borderId="73" xfId="12" applyNumberFormat="1" applyFont="1" applyBorder="1" applyAlignment="1">
      <alignment horizontal="center" vertical="center"/>
    </xf>
    <xf numFmtId="2" fontId="71" fillId="0" borderId="73" xfId="10" applyNumberFormat="1" applyFont="1" applyBorder="1" applyAlignment="1">
      <alignment horizontal="center" vertical="center"/>
    </xf>
    <xf numFmtId="0" fontId="73" fillId="0" borderId="81" xfId="12" applyFont="1" applyBorder="1" applyAlignment="1">
      <alignment horizontal="left" vertical="center" wrapText="1"/>
    </xf>
    <xf numFmtId="0" fontId="76" fillId="0" borderId="81" xfId="12" applyFont="1" applyBorder="1" applyAlignment="1">
      <alignment horizontal="center" vertical="center" wrapText="1"/>
    </xf>
    <xf numFmtId="4" fontId="71" fillId="0" borderId="73" xfId="12" applyNumberFormat="1" applyFont="1" applyBorder="1" applyAlignment="1">
      <alignment horizontal="center" vertical="center" wrapText="1"/>
    </xf>
    <xf numFmtId="2" fontId="8" fillId="0" borderId="0" xfId="12" applyNumberFormat="1" applyFont="1" applyAlignment="1">
      <alignment horizontal="center" vertical="center" wrapText="1"/>
    </xf>
    <xf numFmtId="0" fontId="13" fillId="0" borderId="81" xfId="12" applyFont="1" applyBorder="1" applyAlignment="1">
      <alignment horizontal="left" vertical="center" wrapText="1"/>
    </xf>
    <xf numFmtId="0" fontId="77" fillId="0" borderId="81" xfId="12" applyFont="1" applyBorder="1" applyAlignment="1">
      <alignment horizontal="center" vertical="center" wrapText="1"/>
    </xf>
    <xf numFmtId="167" fontId="78" fillId="0" borderId="73" xfId="10" applyNumberFormat="1" applyFont="1" applyBorder="1" applyAlignment="1">
      <alignment horizontal="center" vertical="center"/>
    </xf>
    <xf numFmtId="0" fontId="79" fillId="0" borderId="0" xfId="12" applyFont="1" applyAlignment="1">
      <alignment vertical="center"/>
    </xf>
    <xf numFmtId="0" fontId="8" fillId="0" borderId="0" xfId="12" applyFont="1" applyAlignment="1">
      <alignment horizontal="center" vertical="center" wrapText="1"/>
    </xf>
    <xf numFmtId="3" fontId="75" fillId="0" borderId="0" xfId="12" applyNumberFormat="1" applyFont="1" applyAlignment="1">
      <alignment horizontal="center" vertical="center"/>
    </xf>
    <xf numFmtId="0" fontId="10" fillId="0" borderId="0" xfId="12" applyFont="1" applyAlignment="1">
      <alignment horizontal="right" vertical="center"/>
    </xf>
    <xf numFmtId="0" fontId="80" fillId="0" borderId="0" xfId="12" applyFont="1" applyAlignment="1">
      <alignment vertical="center"/>
    </xf>
    <xf numFmtId="0" fontId="81" fillId="0" borderId="73" xfId="12" applyFont="1" applyBorder="1" applyAlignment="1">
      <alignment horizontal="center" vertical="center" wrapText="1"/>
    </xf>
    <xf numFmtId="0" fontId="10" fillId="0" borderId="37" xfId="12" applyFont="1" applyBorder="1" applyAlignment="1">
      <alignment vertical="center"/>
    </xf>
    <xf numFmtId="0" fontId="8" fillId="0" borderId="0" xfId="12" applyFont="1" applyAlignment="1">
      <alignment horizontal="center" vertical="center"/>
    </xf>
    <xf numFmtId="0" fontId="71" fillId="0" borderId="73" xfId="12" applyFont="1" applyBorder="1" applyAlignment="1">
      <alignment horizontal="center" vertical="center" wrapText="1"/>
    </xf>
    <xf numFmtId="0" fontId="79" fillId="0" borderId="81" xfId="12" applyFont="1" applyBorder="1" applyAlignment="1">
      <alignment vertical="center"/>
    </xf>
    <xf numFmtId="3" fontId="67" fillId="0" borderId="73" xfId="12" applyNumberFormat="1" applyFont="1" applyBorder="1" applyAlignment="1">
      <alignment horizontal="center" vertical="center" wrapText="1"/>
    </xf>
    <xf numFmtId="3" fontId="82" fillId="0" borderId="73" xfId="12" applyNumberFormat="1" applyFont="1" applyBorder="1" applyAlignment="1">
      <alignment horizontal="center" vertical="center" wrapText="1"/>
    </xf>
    <xf numFmtId="0" fontId="83" fillId="0" borderId="0" xfId="10" applyFont="1" applyAlignment="1">
      <alignment horizontal="left" vertical="center"/>
    </xf>
    <xf numFmtId="0" fontId="84" fillId="0" borderId="0" xfId="10" applyFont="1" applyAlignment="1">
      <alignment horizontal="center" vertical="center"/>
    </xf>
    <xf numFmtId="2" fontId="84" fillId="0" borderId="0" xfId="10" applyNumberFormat="1" applyFont="1" applyAlignment="1">
      <alignment horizontal="center" vertical="center"/>
    </xf>
    <xf numFmtId="49" fontId="18" fillId="0" borderId="70" xfId="10" applyNumberFormat="1" applyFont="1" applyBorder="1"/>
    <xf numFmtId="0" fontId="59" fillId="0" borderId="71" xfId="10" applyFont="1" applyBorder="1" applyAlignment="1">
      <alignment horizontal="center"/>
    </xf>
    <xf numFmtId="4" fontId="85" fillId="0" borderId="72" xfId="10" applyNumberFormat="1" applyFont="1" applyBorder="1" applyAlignment="1">
      <alignment horizontal="center" vertical="center"/>
    </xf>
    <xf numFmtId="0" fontId="13" fillId="0" borderId="0" xfId="10" applyFont="1"/>
    <xf numFmtId="49" fontId="18" fillId="0" borderId="0" xfId="10" applyNumberFormat="1" applyFont="1" applyAlignment="1">
      <alignment vertical="center"/>
    </xf>
    <xf numFmtId="49" fontId="13" fillId="0" borderId="81" xfId="10" applyNumberFormat="1" applyFont="1" applyBorder="1" applyAlignment="1">
      <alignment vertical="center"/>
    </xf>
    <xf numFmtId="0" fontId="13" fillId="0" borderId="81" xfId="10" applyFont="1" applyBorder="1" applyAlignment="1">
      <alignment vertical="center"/>
    </xf>
    <xf numFmtId="4" fontId="63" fillId="0" borderId="73" xfId="10" applyNumberFormat="1" applyFont="1" applyBorder="1" applyAlignment="1">
      <alignment horizontal="center" vertical="center"/>
    </xf>
    <xf numFmtId="49" fontId="13" fillId="0" borderId="82" xfId="10" applyNumberFormat="1" applyFont="1" applyBorder="1" applyAlignment="1">
      <alignment vertical="center"/>
    </xf>
    <xf numFmtId="0" fontId="13" fillId="0" borderId="82" xfId="10" applyFont="1" applyBorder="1" applyAlignment="1">
      <alignment vertical="center"/>
    </xf>
    <xf numFmtId="49" fontId="13" fillId="0" borderId="82" xfId="10" applyNumberFormat="1" applyFont="1" applyBorder="1" applyAlignment="1">
      <alignment horizontal="left" vertical="center"/>
    </xf>
    <xf numFmtId="0" fontId="13" fillId="0" borderId="83" xfId="10" applyFont="1" applyBorder="1" applyAlignment="1">
      <alignment vertical="center"/>
    </xf>
    <xf numFmtId="0" fontId="13" fillId="0" borderId="82" xfId="10" applyFont="1" applyBorder="1" applyAlignment="1">
      <alignment horizontal="right" vertical="center"/>
    </xf>
    <xf numFmtId="0" fontId="13" fillId="0" borderId="84" xfId="10" applyFont="1" applyBorder="1" applyAlignment="1">
      <alignment vertical="center"/>
    </xf>
    <xf numFmtId="0" fontId="13" fillId="0" borderId="82" xfId="10" applyFont="1" applyBorder="1" applyAlignment="1">
      <alignment vertical="center" wrapText="1"/>
    </xf>
    <xf numFmtId="2" fontId="63" fillId="0" borderId="73" xfId="10" applyNumberFormat="1" applyFont="1" applyBorder="1" applyAlignment="1">
      <alignment horizontal="center" vertical="center"/>
    </xf>
    <xf numFmtId="0" fontId="13" fillId="0" borderId="85" xfId="10" applyFont="1" applyBorder="1" applyAlignment="1">
      <alignment vertical="center"/>
    </xf>
    <xf numFmtId="0" fontId="13" fillId="0" borderId="82" xfId="10" applyFont="1" applyBorder="1" applyAlignment="1">
      <alignment horizontal="left" vertical="center"/>
    </xf>
    <xf numFmtId="4" fontId="82" fillId="0" borderId="73" xfId="10" applyNumberFormat="1" applyFont="1" applyBorder="1" applyAlignment="1">
      <alignment horizontal="center" vertical="center"/>
    </xf>
    <xf numFmtId="0" fontId="73" fillId="0" borderId="0" xfId="10" applyFont="1" applyAlignment="1">
      <alignment vertical="center"/>
    </xf>
    <xf numFmtId="4" fontId="79" fillId="0" borderId="0" xfId="10" applyNumberFormat="1" applyFont="1" applyAlignment="1">
      <alignment horizontal="center" vertical="center"/>
    </xf>
    <xf numFmtId="0" fontId="83" fillId="0" borderId="0" xfId="10" applyFont="1" applyAlignment="1">
      <alignment vertical="center"/>
    </xf>
    <xf numFmtId="4" fontId="84" fillId="0" borderId="0" xfId="10" applyNumberFormat="1" applyFont="1" applyAlignment="1">
      <alignment horizontal="center" vertical="center"/>
    </xf>
    <xf numFmtId="0" fontId="61" fillId="0" borderId="0" xfId="10" applyFont="1" applyAlignment="1">
      <alignment horizontal="left" vertical="center"/>
    </xf>
    <xf numFmtId="0" fontId="18" fillId="0" borderId="0" xfId="10" applyFont="1" applyAlignment="1">
      <alignment horizontal="center" vertical="center"/>
    </xf>
    <xf numFmtId="2" fontId="18" fillId="0" borderId="0" xfId="10" applyNumberFormat="1" applyFont="1" applyAlignment="1">
      <alignment horizontal="center" vertical="center"/>
    </xf>
    <xf numFmtId="2" fontId="13" fillId="0" borderId="0" xfId="10" applyNumberFormat="1" applyFont="1" applyAlignment="1">
      <alignment vertical="center"/>
    </xf>
    <xf numFmtId="165" fontId="13" fillId="0" borderId="0" xfId="10" applyNumberFormat="1" applyFont="1" applyAlignment="1">
      <alignment vertical="center"/>
    </xf>
    <xf numFmtId="0" fontId="87" fillId="0" borderId="0" xfId="18" applyFont="1" applyAlignment="1">
      <alignment horizontal="left" vertical="center"/>
    </xf>
    <xf numFmtId="0" fontId="87" fillId="0" borderId="0" xfId="0" applyFont="1" applyAlignment="1">
      <alignment horizontal="left" vertical="center"/>
    </xf>
    <xf numFmtId="0" fontId="88" fillId="0" borderId="0" xfId="18" applyFont="1" applyAlignment="1">
      <alignment horizontal="left" vertical="center"/>
    </xf>
    <xf numFmtId="0" fontId="88" fillId="0" borderId="0" xfId="18" applyFont="1" applyAlignment="1">
      <alignment horizontal="center" vertical="center"/>
    </xf>
    <xf numFmtId="0" fontId="89" fillId="0" borderId="0" xfId="18" applyFont="1" applyAlignment="1">
      <alignment horizontal="left" vertical="center"/>
    </xf>
    <xf numFmtId="0" fontId="90" fillId="0" borderId="0" xfId="18" applyFont="1" applyAlignment="1">
      <alignment horizontal="left" vertical="center"/>
    </xf>
    <xf numFmtId="14" fontId="87" fillId="0" borderId="0" xfId="18" applyNumberFormat="1" applyFont="1" applyAlignment="1">
      <alignment horizontal="left" vertical="center"/>
    </xf>
    <xf numFmtId="0" fontId="91" fillId="0" borderId="0" xfId="18" applyFont="1" applyAlignment="1">
      <alignment horizontal="left" vertical="center"/>
    </xf>
    <xf numFmtId="0" fontId="92" fillId="0" borderId="0" xfId="18" applyFont="1" applyAlignment="1">
      <alignment horizontal="left" vertical="center"/>
    </xf>
    <xf numFmtId="14" fontId="92" fillId="0" borderId="0" xfId="18" applyNumberFormat="1" applyFont="1" applyAlignment="1">
      <alignment horizontal="left" vertical="center"/>
    </xf>
    <xf numFmtId="0" fontId="93" fillId="0" borderId="0" xfId="18" applyFont="1" applyAlignment="1">
      <alignment horizontal="center" vertical="center"/>
    </xf>
    <xf numFmtId="0" fontId="97" fillId="0" borderId="2" xfId="18" applyFont="1" applyBorder="1" applyAlignment="1">
      <alignment horizontal="left" vertical="center" wrapText="1"/>
    </xf>
    <xf numFmtId="0" fontId="87" fillId="0" borderId="0" xfId="18" applyFont="1" applyAlignment="1">
      <alignment horizontal="left" vertical="center" wrapText="1"/>
    </xf>
    <xf numFmtId="0" fontId="97" fillId="0" borderId="39" xfId="18" applyFont="1" applyBorder="1" applyAlignment="1">
      <alignment horizontal="left" vertical="center" wrapText="1"/>
    </xf>
    <xf numFmtId="0" fontId="98" fillId="0" borderId="39" xfId="18" applyFont="1" applyBorder="1" applyAlignment="1">
      <alignment horizontal="left" vertical="center" wrapText="1"/>
    </xf>
    <xf numFmtId="0" fontId="97" fillId="0" borderId="17" xfId="18" applyFont="1" applyBorder="1" applyAlignment="1">
      <alignment horizontal="left" vertical="center" wrapText="1"/>
    </xf>
    <xf numFmtId="0" fontId="100" fillId="0" borderId="39" xfId="18" applyFont="1" applyBorder="1" applyAlignment="1">
      <alignment horizontal="center" vertical="center" wrapText="1"/>
    </xf>
    <xf numFmtId="0" fontId="101" fillId="0" borderId="39" xfId="18" applyFont="1" applyBorder="1" applyAlignment="1">
      <alignment horizontal="center" vertical="center" wrapText="1"/>
    </xf>
    <xf numFmtId="0" fontId="102" fillId="0" borderId="39" xfId="18" applyFont="1" applyBorder="1" applyAlignment="1">
      <alignment horizontal="center" vertical="center" wrapText="1"/>
    </xf>
    <xf numFmtId="0" fontId="87" fillId="0" borderId="33" xfId="18" applyFont="1" applyBorder="1" applyAlignment="1">
      <alignment horizontal="left" vertical="center" wrapText="1"/>
    </xf>
    <xf numFmtId="0" fontId="87" fillId="0" borderId="15" xfId="18" applyFont="1" applyBorder="1" applyAlignment="1">
      <alignment horizontal="left" vertical="center" wrapText="1"/>
    </xf>
    <xf numFmtId="0" fontId="87" fillId="0" borderId="18" xfId="18" applyFont="1" applyBorder="1" applyAlignment="1">
      <alignment horizontal="left" vertical="center" wrapText="1"/>
    </xf>
    <xf numFmtId="0" fontId="103" fillId="0" borderId="39" xfId="18" applyFont="1" applyBorder="1" applyAlignment="1">
      <alignment horizontal="center" vertical="center" wrapText="1"/>
    </xf>
    <xf numFmtId="0" fontId="104" fillId="0" borderId="0" xfId="18" applyFont="1" applyAlignment="1">
      <alignment horizontal="left" vertical="center" wrapText="1"/>
    </xf>
    <xf numFmtId="0" fontId="87" fillId="0" borderId="0" xfId="18" applyFont="1" applyAlignment="1">
      <alignment horizontal="left" vertical="top" wrapText="1"/>
    </xf>
    <xf numFmtId="0" fontId="97" fillId="0" borderId="39" xfId="18" applyFont="1" applyBorder="1" applyAlignment="1">
      <alignment vertical="center" wrapText="1"/>
    </xf>
    <xf numFmtId="0" fontId="98" fillId="0" borderId="39" xfId="18" applyFont="1" applyBorder="1" applyAlignment="1">
      <alignment vertical="center" wrapText="1"/>
    </xf>
    <xf numFmtId="0" fontId="101" fillId="0" borderId="103" xfId="18" applyFont="1" applyBorder="1" applyAlignment="1">
      <alignment horizontal="center" vertical="center" wrapText="1"/>
    </xf>
    <xf numFmtId="0" fontId="109" fillId="0" borderId="103" xfId="18" applyFont="1" applyBorder="1" applyAlignment="1">
      <alignment horizontal="center" vertical="center" wrapText="1"/>
    </xf>
    <xf numFmtId="0" fontId="87" fillId="0" borderId="0" xfId="18" applyFont="1" applyAlignment="1">
      <alignment horizontal="center" vertical="center"/>
    </xf>
    <xf numFmtId="0" fontId="110" fillId="0" borderId="0" xfId="18" applyFont="1" applyAlignment="1">
      <alignment horizontal="left" vertical="center"/>
    </xf>
    <xf numFmtId="14" fontId="110" fillId="0" borderId="0" xfId="18" applyNumberFormat="1" applyFont="1" applyAlignment="1">
      <alignment horizontal="left" vertical="center"/>
    </xf>
    <xf numFmtId="0" fontId="114" fillId="0" borderId="39" xfId="18" applyFont="1" applyBorder="1" applyAlignment="1">
      <alignment horizontal="left" vertical="center" wrapText="1"/>
    </xf>
    <xf numFmtId="0" fontId="116" fillId="0" borderId="39" xfId="18" applyFont="1" applyBorder="1" applyAlignment="1">
      <alignment horizontal="center" vertical="center" wrapText="1"/>
    </xf>
    <xf numFmtId="0" fontId="117" fillId="0" borderId="39" xfId="18" applyFont="1" applyBorder="1" applyAlignment="1">
      <alignment horizontal="center" vertical="center" wrapText="1"/>
    </xf>
    <xf numFmtId="0" fontId="114" fillId="0" borderId="39" xfId="18" applyFont="1" applyBorder="1" applyAlignment="1">
      <alignment vertical="center" wrapText="1"/>
    </xf>
    <xf numFmtId="0" fontId="11" fillId="0" borderId="0" xfId="0" applyFont="1" applyFill="1" applyAlignment="1">
      <alignment vertical="center"/>
    </xf>
    <xf numFmtId="3" fontId="19" fillId="0" borderId="0" xfId="0" applyNumberFormat="1" applyFont="1" applyFill="1" applyAlignment="1">
      <alignment vertical="center"/>
    </xf>
    <xf numFmtId="3" fontId="20" fillId="0" borderId="0" xfId="0" applyNumberFormat="1"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10" fillId="0" borderId="0" xfId="0" applyFont="1" applyFill="1" applyAlignment="1">
      <alignment vertical="center"/>
    </xf>
    <xf numFmtId="0" fontId="0" fillId="0" borderId="0" xfId="0" applyFill="1"/>
    <xf numFmtId="0" fontId="6" fillId="0" borderId="0" xfId="0" applyFont="1" applyFill="1"/>
    <xf numFmtId="0" fontId="7" fillId="0" borderId="3" xfId="0" applyFont="1" applyFill="1" applyBorder="1" applyAlignment="1">
      <alignment horizontal="center" vertical="center"/>
    </xf>
    <xf numFmtId="0" fontId="18"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xf>
    <xf numFmtId="9" fontId="9" fillId="0" borderId="4" xfId="0" applyNumberFormat="1" applyFont="1" applyFill="1" applyBorder="1" applyAlignment="1">
      <alignment horizontal="center" vertical="center"/>
    </xf>
    <xf numFmtId="9" fontId="7" fillId="0" borderId="4" xfId="0" applyNumberFormat="1" applyFont="1" applyFill="1" applyBorder="1" applyAlignment="1">
      <alignment horizontal="center" vertical="center"/>
    </xf>
    <xf numFmtId="0" fontId="5" fillId="0" borderId="43" xfId="0" applyFont="1" applyFill="1" applyBorder="1" applyAlignment="1">
      <alignment horizontal="left" vertical="center" wrapText="1"/>
    </xf>
    <xf numFmtId="168" fontId="6" fillId="0" borderId="21" xfId="4" applyNumberFormat="1" applyFont="1" applyFill="1" applyBorder="1" applyAlignment="1">
      <alignment horizontal="center" vertical="center" wrapText="1"/>
    </xf>
    <xf numFmtId="168" fontId="21" fillId="0" borderId="23" xfId="4" applyNumberFormat="1" applyFont="1" applyFill="1" applyBorder="1" applyAlignment="1">
      <alignment horizontal="center" vertical="center" wrapText="1"/>
    </xf>
    <xf numFmtId="168" fontId="6" fillId="0" borderId="35" xfId="4" applyNumberFormat="1" applyFont="1" applyFill="1" applyBorder="1" applyAlignment="1">
      <alignment horizontal="center" vertical="center" wrapText="1"/>
    </xf>
    <xf numFmtId="168" fontId="6" fillId="0" borderId="38" xfId="4" applyNumberFormat="1" applyFont="1" applyFill="1" applyBorder="1" applyAlignment="1">
      <alignment horizontal="center" vertical="center" wrapText="1"/>
    </xf>
    <xf numFmtId="168" fontId="6" fillId="0" borderId="23" xfId="4"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168" fontId="6" fillId="0" borderId="9" xfId="4" applyNumberFormat="1" applyFont="1" applyFill="1" applyBorder="1" applyAlignment="1">
      <alignment horizontal="center" vertical="center" wrapText="1"/>
    </xf>
    <xf numFmtId="168" fontId="6" fillId="0" borderId="12" xfId="4" applyNumberFormat="1" applyFont="1" applyFill="1" applyBorder="1" applyAlignment="1">
      <alignment horizontal="center" vertical="center" wrapText="1"/>
    </xf>
    <xf numFmtId="0" fontId="5" fillId="0" borderId="20" xfId="0" applyFont="1" applyFill="1" applyBorder="1" applyAlignment="1">
      <alignment horizontal="left" vertical="center" wrapText="1"/>
    </xf>
    <xf numFmtId="168" fontId="22" fillId="0" borderId="35" xfId="4" applyNumberFormat="1" applyFont="1" applyFill="1" applyBorder="1" applyAlignment="1">
      <alignment horizontal="center" vertical="center" wrapText="1"/>
    </xf>
    <xf numFmtId="168" fontId="22" fillId="0" borderId="38" xfId="4" applyNumberFormat="1" applyFont="1" applyFill="1" applyBorder="1" applyAlignment="1">
      <alignment horizontal="center" vertical="center" wrapText="1"/>
    </xf>
    <xf numFmtId="9" fontId="5" fillId="0" borderId="43" xfId="0" applyNumberFormat="1" applyFont="1" applyFill="1" applyBorder="1" applyAlignment="1">
      <alignment horizontal="left" vertical="center" wrapText="1"/>
    </xf>
    <xf numFmtId="0" fontId="5" fillId="0" borderId="43" xfId="0" applyFont="1" applyFill="1" applyBorder="1" applyAlignment="1">
      <alignment horizontal="right" vertical="center" wrapText="1"/>
    </xf>
    <xf numFmtId="168" fontId="6" fillId="0" borderId="35" xfId="4" applyNumberFormat="1" applyFont="1" applyFill="1" applyBorder="1" applyAlignment="1">
      <alignment horizontal="right" vertical="center" wrapText="1"/>
    </xf>
    <xf numFmtId="0" fontId="5" fillId="0" borderId="14" xfId="0" applyFont="1" applyFill="1" applyBorder="1" applyAlignment="1">
      <alignment horizontal="left" vertical="center" wrapText="1"/>
    </xf>
    <xf numFmtId="168" fontId="6" fillId="0" borderId="15" xfId="4" applyNumberFormat="1" applyFont="1" applyFill="1" applyBorder="1" applyAlignment="1">
      <alignment horizontal="center" vertical="center" wrapText="1"/>
    </xf>
    <xf numFmtId="0" fontId="5" fillId="0" borderId="24" xfId="0" applyFont="1" applyFill="1" applyBorder="1" applyAlignment="1">
      <alignment horizontal="left" vertical="center" wrapText="1"/>
    </xf>
    <xf numFmtId="168" fontId="6" fillId="0" borderId="25" xfId="4" applyNumberFormat="1" applyFont="1" applyFill="1" applyBorder="1" applyAlignment="1">
      <alignment horizontal="center" vertical="center" wrapText="1"/>
    </xf>
    <xf numFmtId="168" fontId="6" fillId="0" borderId="27" xfId="4" applyNumberFormat="1" applyFont="1" applyFill="1" applyBorder="1" applyAlignment="1">
      <alignment horizontal="center" vertical="center" wrapText="1"/>
    </xf>
    <xf numFmtId="168" fontId="21" fillId="0" borderId="26" xfId="4" applyNumberFormat="1" applyFont="1" applyFill="1" applyBorder="1" applyAlignment="1">
      <alignment horizontal="center" vertical="center" wrapText="1"/>
    </xf>
    <xf numFmtId="168" fontId="19" fillId="0" borderId="35" xfId="4" applyNumberFormat="1" applyFont="1" applyFill="1" applyBorder="1" applyAlignment="1">
      <alignment horizontal="center" vertical="center" wrapText="1"/>
    </xf>
    <xf numFmtId="168" fontId="19" fillId="0" borderId="38" xfId="4"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167" fontId="6" fillId="0" borderId="28" xfId="4" applyFont="1" applyFill="1" applyBorder="1" applyAlignment="1">
      <alignment horizontal="center" vertical="center" wrapText="1"/>
    </xf>
    <xf numFmtId="170" fontId="6" fillId="0" borderId="28" xfId="4" applyNumberFormat="1" applyFont="1" applyFill="1" applyBorder="1" applyAlignment="1">
      <alignment horizontal="center" vertical="center" wrapText="1"/>
    </xf>
    <xf numFmtId="167" fontId="6" fillId="0" borderId="29" xfId="4" applyFont="1" applyFill="1" applyBorder="1" applyAlignment="1">
      <alignment horizontal="center" vertical="center" wrapText="1"/>
    </xf>
    <xf numFmtId="0" fontId="87" fillId="0" borderId="120" xfId="18" applyFont="1" applyBorder="1" applyAlignment="1">
      <alignment horizontal="left" vertical="center"/>
    </xf>
    <xf numFmtId="38" fontId="87" fillId="0" borderId="0" xfId="18" applyNumberFormat="1" applyFont="1" applyAlignment="1">
      <alignment horizontal="left" vertical="center"/>
    </xf>
    <xf numFmtId="0" fontId="29" fillId="0" borderId="16" xfId="7" applyFont="1" applyBorder="1" applyAlignment="1">
      <alignment horizontal="center" vertical="center" wrapText="1"/>
    </xf>
    <xf numFmtId="0" fontId="29" fillId="0" borderId="19" xfId="7" applyFont="1" applyBorder="1" applyAlignment="1">
      <alignment horizontal="center" vertical="center" wrapText="1"/>
    </xf>
    <xf numFmtId="0" fontId="29" fillId="0" borderId="33" xfId="7" applyFont="1" applyBorder="1" applyAlignment="1">
      <alignment horizontal="center" vertical="center" wrapText="1"/>
    </xf>
    <xf numFmtId="0" fontId="26" fillId="0" borderId="0" xfId="7" applyFont="1" applyAlignment="1">
      <alignment horizontal="center"/>
    </xf>
    <xf numFmtId="0" fontId="27" fillId="0" borderId="13" xfId="7" applyFont="1" applyBorder="1" applyAlignment="1">
      <alignment horizontal="center" vertical="center"/>
    </xf>
    <xf numFmtId="0" fontId="28" fillId="0" borderId="16" xfId="7" applyFont="1" applyBorder="1" applyAlignment="1">
      <alignment horizontal="center" vertical="center" wrapText="1"/>
    </xf>
    <xf numFmtId="0" fontId="28" fillId="0" borderId="19" xfId="7" applyFont="1" applyBorder="1" applyAlignment="1">
      <alignment horizontal="center" vertical="center" wrapText="1"/>
    </xf>
    <xf numFmtId="0" fontId="28" fillId="0" borderId="33" xfId="7" applyFont="1" applyBorder="1" applyAlignment="1">
      <alignment horizontal="center" vertical="center" wrapText="1"/>
    </xf>
    <xf numFmtId="38" fontId="29" fillId="0" borderId="16" xfId="7" applyNumberFormat="1" applyFont="1" applyBorder="1" applyAlignment="1">
      <alignment horizontal="center" vertical="center" wrapText="1"/>
    </xf>
    <xf numFmtId="38" fontId="29" fillId="0" borderId="19" xfId="7" applyNumberFormat="1" applyFont="1" applyBorder="1" applyAlignment="1">
      <alignment horizontal="center" vertical="center" wrapText="1"/>
    </xf>
    <xf numFmtId="38" fontId="29" fillId="0" borderId="33" xfId="7" applyNumberFormat="1" applyFont="1" applyBorder="1" applyAlignment="1">
      <alignment horizontal="center" vertical="center" wrapText="1"/>
    </xf>
    <xf numFmtId="172" fontId="29" fillId="0" borderId="16" xfId="7" applyNumberFormat="1" applyFont="1" applyBorder="1" applyAlignment="1">
      <alignment horizontal="center" vertical="center" wrapText="1"/>
    </xf>
    <xf numFmtId="172" fontId="29" fillId="0" borderId="19" xfId="7" applyNumberFormat="1" applyFont="1" applyBorder="1" applyAlignment="1">
      <alignment horizontal="center" vertical="center" wrapText="1"/>
    </xf>
    <xf numFmtId="172" fontId="29" fillId="0" borderId="33" xfId="7" applyNumberFormat="1" applyFont="1" applyBorder="1" applyAlignment="1">
      <alignment horizontal="center" vertical="center" wrapText="1"/>
    </xf>
    <xf numFmtId="172" fontId="29" fillId="0" borderId="16" xfId="1" applyNumberFormat="1" applyFont="1" applyBorder="1" applyAlignment="1">
      <alignment horizontal="center" vertical="center" wrapText="1"/>
    </xf>
    <xf numFmtId="172" fontId="29" fillId="0" borderId="19" xfId="1" applyNumberFormat="1" applyFont="1" applyBorder="1" applyAlignment="1">
      <alignment horizontal="center" vertical="center" wrapText="1"/>
    </xf>
    <xf numFmtId="172" fontId="29" fillId="0" borderId="33" xfId="1" applyNumberFormat="1" applyFont="1" applyBorder="1" applyAlignment="1">
      <alignment horizontal="center" vertical="center" wrapText="1"/>
    </xf>
    <xf numFmtId="9" fontId="29" fillId="0" borderId="16" xfId="7" applyNumberFormat="1" applyFont="1" applyBorder="1" applyAlignment="1">
      <alignment horizontal="center" vertical="center" wrapText="1"/>
    </xf>
    <xf numFmtId="164" fontId="29" fillId="0" borderId="19" xfId="3" applyNumberFormat="1" applyFont="1" applyBorder="1" applyAlignment="1">
      <alignment horizontal="center" vertical="center" wrapText="1"/>
    </xf>
    <xf numFmtId="164" fontId="29" fillId="0" borderId="33" xfId="3" applyNumberFormat="1" applyFont="1" applyBorder="1" applyAlignment="1">
      <alignment horizontal="center" vertical="center" wrapText="1"/>
    </xf>
    <xf numFmtId="38" fontId="29" fillId="0" borderId="16" xfId="1" applyNumberFormat="1" applyFont="1" applyBorder="1" applyAlignment="1">
      <alignment horizontal="right" vertical="center" wrapText="1"/>
    </xf>
    <xf numFmtId="38" fontId="29" fillId="0" borderId="19" xfId="1" applyNumberFormat="1" applyFont="1" applyBorder="1" applyAlignment="1">
      <alignment horizontal="right" vertical="center" wrapText="1"/>
    </xf>
    <xf numFmtId="38" fontId="29" fillId="0" borderId="33" xfId="1" applyNumberFormat="1" applyFont="1" applyBorder="1" applyAlignment="1">
      <alignment horizontal="right" vertical="center" wrapText="1"/>
    </xf>
    <xf numFmtId="1" fontId="29" fillId="0" borderId="16" xfId="7" applyNumberFormat="1" applyFont="1" applyBorder="1" applyAlignment="1">
      <alignment horizontal="center" vertical="center" wrapText="1"/>
    </xf>
    <xf numFmtId="1" fontId="29" fillId="0" borderId="19" xfId="7" applyNumberFormat="1" applyFont="1" applyBorder="1" applyAlignment="1">
      <alignment horizontal="center" vertical="center" wrapText="1"/>
    </xf>
    <xf numFmtId="1" fontId="29" fillId="0" borderId="33" xfId="7" applyNumberFormat="1" applyFont="1" applyBorder="1" applyAlignment="1">
      <alignment horizontal="center" vertical="center" wrapText="1"/>
    </xf>
    <xf numFmtId="0" fontId="29" fillId="0" borderId="21" xfId="7" applyFont="1" applyBorder="1" applyAlignment="1">
      <alignment horizontal="center" vertical="center" wrapText="1"/>
    </xf>
    <xf numFmtId="0" fontId="29" fillId="0" borderId="35" xfId="7" applyFont="1" applyBorder="1" applyAlignment="1">
      <alignment horizontal="center" vertical="center" wrapText="1"/>
    </xf>
    <xf numFmtId="164" fontId="29" fillId="0" borderId="16" xfId="3" applyNumberFormat="1" applyFont="1" applyBorder="1" applyAlignment="1">
      <alignment horizontal="center" vertical="center" wrapText="1"/>
    </xf>
    <xf numFmtId="2" fontId="29" fillId="0" borderId="16" xfId="7" applyNumberFormat="1" applyFont="1" applyBorder="1" applyAlignment="1">
      <alignment horizontal="center" vertical="center" wrapText="1"/>
    </xf>
    <xf numFmtId="2" fontId="29" fillId="0" borderId="19" xfId="7" applyNumberFormat="1" applyFont="1" applyBorder="1" applyAlignment="1">
      <alignment horizontal="center" vertical="center" wrapText="1"/>
    </xf>
    <xf numFmtId="2" fontId="29" fillId="0" borderId="33" xfId="7" applyNumberFormat="1" applyFont="1" applyBorder="1" applyAlignment="1">
      <alignment horizontal="center" vertical="center" wrapText="1"/>
    </xf>
    <xf numFmtId="1" fontId="30" fillId="0" borderId="16" xfId="7" applyNumberFormat="1" applyFont="1" applyBorder="1" applyAlignment="1">
      <alignment horizontal="center" vertical="center" wrapText="1"/>
    </xf>
    <xf numFmtId="1" fontId="30" fillId="0" borderId="19" xfId="7" applyNumberFormat="1" applyFont="1" applyBorder="1" applyAlignment="1">
      <alignment horizontal="center" vertical="center" wrapText="1"/>
    </xf>
    <xf numFmtId="1" fontId="30" fillId="0" borderId="33" xfId="7" applyNumberFormat="1" applyFont="1" applyBorder="1" applyAlignment="1">
      <alignment horizontal="center" vertical="center" wrapText="1"/>
    </xf>
    <xf numFmtId="40" fontId="29" fillId="0" borderId="16" xfId="1" applyFont="1" applyBorder="1" applyAlignment="1">
      <alignment horizontal="center" vertical="center" wrapText="1"/>
    </xf>
    <xf numFmtId="40" fontId="29" fillId="0" borderId="19" xfId="1" applyFont="1" applyBorder="1" applyAlignment="1">
      <alignment horizontal="center" vertical="center" wrapText="1"/>
    </xf>
    <xf numFmtId="40" fontId="29" fillId="0" borderId="33" xfId="1" applyFont="1" applyBorder="1" applyAlignment="1">
      <alignment horizontal="center" vertical="center" wrapText="1"/>
    </xf>
    <xf numFmtId="0" fontId="29" fillId="0" borderId="9" xfId="7" applyFont="1" applyBorder="1" applyAlignment="1">
      <alignment horizontal="center" vertical="center" wrapText="1"/>
    </xf>
    <xf numFmtId="165" fontId="30" fillId="0" borderId="16" xfId="7" applyNumberFormat="1" applyFont="1" applyBorder="1" applyAlignment="1">
      <alignment horizontal="center" vertical="center" wrapText="1"/>
    </xf>
    <xf numFmtId="165" fontId="30" fillId="0" borderId="19" xfId="7" applyNumberFormat="1" applyFont="1" applyBorder="1" applyAlignment="1">
      <alignment horizontal="center" vertical="center" wrapText="1"/>
    </xf>
    <xf numFmtId="165" fontId="30" fillId="0" borderId="33" xfId="7" applyNumberFormat="1" applyFont="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wrapText="1"/>
    </xf>
    <xf numFmtId="0" fontId="49" fillId="0" borderId="15" xfId="0" applyFont="1" applyBorder="1" applyAlignment="1">
      <alignment horizontal="center" vertical="center" wrapText="1"/>
    </xf>
    <xf numFmtId="0" fontId="50"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2" xfId="0" applyFont="1" applyBorder="1" applyAlignment="1">
      <alignment horizontal="center" vertical="center" wrapText="1"/>
    </xf>
    <xf numFmtId="175" fontId="53" fillId="0" borderId="16" xfId="1" applyNumberFormat="1" applyFont="1" applyBorder="1" applyAlignment="1">
      <alignment horizontal="center" vertical="center" wrapText="1"/>
    </xf>
    <xf numFmtId="175" fontId="53" fillId="0" borderId="33" xfId="1" applyNumberFormat="1" applyFont="1" applyBorder="1" applyAlignment="1">
      <alignment horizontal="center" vertical="center" wrapText="1"/>
    </xf>
    <xf numFmtId="0" fontId="45" fillId="0" borderId="15" xfId="0" applyFont="1" applyBorder="1" applyAlignment="1">
      <alignment horizontal="center" vertical="justify" wrapText="1"/>
    </xf>
    <xf numFmtId="176" fontId="45" fillId="0" borderId="15" xfId="1" applyNumberFormat="1" applyFont="1" applyBorder="1" applyAlignment="1">
      <alignment horizontal="center" vertical="center" wrapText="1"/>
    </xf>
    <xf numFmtId="9" fontId="53" fillId="0" borderId="16" xfId="3" applyFont="1" applyBorder="1" applyAlignment="1">
      <alignment horizontal="center" vertical="center" wrapText="1"/>
    </xf>
    <xf numFmtId="9" fontId="53" fillId="0" borderId="33" xfId="3" applyFont="1" applyBorder="1" applyAlignment="1">
      <alignment horizontal="center" vertical="center" wrapText="1"/>
    </xf>
    <xf numFmtId="0" fontId="45" fillId="0" borderId="15"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9"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9" xfId="0" applyFont="1" applyBorder="1" applyAlignment="1">
      <alignment horizontal="center" vertical="center" wrapText="1"/>
    </xf>
    <xf numFmtId="164" fontId="55" fillId="0" borderId="16" xfId="3" applyNumberFormat="1" applyFont="1" applyBorder="1" applyAlignment="1">
      <alignment horizontal="center" vertical="center" wrapText="1"/>
    </xf>
    <xf numFmtId="164" fontId="55" fillId="0" borderId="19" xfId="3" applyNumberFormat="1" applyFont="1" applyBorder="1" applyAlignment="1">
      <alignment horizontal="center" vertical="center" wrapText="1"/>
    </xf>
    <xf numFmtId="164" fontId="55" fillId="0" borderId="33" xfId="3" applyNumberFormat="1" applyFont="1" applyBorder="1" applyAlignment="1">
      <alignment horizontal="center" vertical="center" wrapText="1"/>
    </xf>
    <xf numFmtId="38" fontId="55" fillId="0" borderId="16" xfId="1" applyNumberFormat="1" applyFont="1" applyBorder="1" applyAlignment="1">
      <alignment horizontal="center" vertical="center" wrapText="1"/>
    </xf>
    <xf numFmtId="38" fontId="55" fillId="0" borderId="19" xfId="1" applyNumberFormat="1" applyFont="1" applyBorder="1" applyAlignment="1">
      <alignment horizontal="center" vertical="center" wrapText="1"/>
    </xf>
    <xf numFmtId="38" fontId="55" fillId="0" borderId="33" xfId="1" applyNumberFormat="1" applyFont="1" applyBorder="1" applyAlignment="1">
      <alignment horizontal="center" vertical="center" wrapText="1"/>
    </xf>
    <xf numFmtId="40" fontId="55" fillId="0" borderId="16" xfId="0" applyNumberFormat="1" applyFont="1" applyBorder="1" applyAlignment="1">
      <alignment horizontal="center" vertical="center" wrapText="1"/>
    </xf>
    <xf numFmtId="40" fontId="55" fillId="0" borderId="19" xfId="0" applyNumberFormat="1" applyFont="1" applyBorder="1" applyAlignment="1">
      <alignment horizontal="center" vertical="center" wrapText="1"/>
    </xf>
    <xf numFmtId="40" fontId="55" fillId="0" borderId="33" xfId="0" applyNumberFormat="1" applyFont="1" applyBorder="1" applyAlignment="1">
      <alignment horizontal="center" vertical="center" wrapText="1"/>
    </xf>
    <xf numFmtId="0" fontId="45" fillId="0" borderId="35" xfId="0" applyFont="1" applyBorder="1" applyAlignment="1">
      <alignment horizontal="center" vertical="center" wrapText="1"/>
    </xf>
    <xf numFmtId="38" fontId="55" fillId="0" borderId="16" xfId="0" applyNumberFormat="1" applyFont="1" applyBorder="1" applyAlignment="1">
      <alignment horizontal="center" vertical="center" wrapText="1"/>
    </xf>
    <xf numFmtId="38" fontId="55" fillId="0" borderId="19" xfId="0" applyNumberFormat="1" applyFont="1" applyBorder="1" applyAlignment="1">
      <alignment horizontal="center" vertical="center" wrapText="1"/>
    </xf>
    <xf numFmtId="38" fontId="55" fillId="0" borderId="33" xfId="0" applyNumberFormat="1" applyFont="1" applyBorder="1" applyAlignment="1">
      <alignment horizontal="center" vertical="center" wrapText="1"/>
    </xf>
    <xf numFmtId="40" fontId="55" fillId="0" borderId="16" xfId="1" applyFont="1" applyBorder="1" applyAlignment="1">
      <alignment horizontal="center" vertical="center" wrapText="1"/>
    </xf>
    <xf numFmtId="40" fontId="55" fillId="0" borderId="19" xfId="1" applyFont="1" applyBorder="1" applyAlignment="1">
      <alignment horizontal="center" vertical="center" wrapText="1"/>
    </xf>
    <xf numFmtId="40" fontId="55" fillId="0" borderId="33" xfId="1" applyFont="1" applyBorder="1" applyAlignment="1">
      <alignment horizontal="center" vertical="center" wrapText="1"/>
    </xf>
    <xf numFmtId="0" fontId="55" fillId="0" borderId="19" xfId="0" applyFont="1" applyBorder="1" applyAlignment="1">
      <alignment horizontal="center" vertical="center" wrapText="1"/>
    </xf>
    <xf numFmtId="0" fontId="55" fillId="0" borderId="33" xfId="0" applyFont="1" applyBorder="1" applyAlignment="1">
      <alignment horizontal="center" vertical="center" wrapText="1"/>
    </xf>
    <xf numFmtId="0" fontId="55" fillId="0" borderId="15"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33" xfId="0" applyFont="1" applyBorder="1" applyAlignment="1">
      <alignment horizontal="center" vertical="center" wrapText="1"/>
    </xf>
    <xf numFmtId="9" fontId="55" fillId="0" borderId="15" xfId="3" applyFont="1" applyBorder="1" applyAlignment="1">
      <alignment horizontal="center" vertical="center" wrapText="1"/>
    </xf>
    <xf numFmtId="38" fontId="55" fillId="0" borderId="15" xfId="1" applyNumberFormat="1" applyFont="1" applyBorder="1" applyAlignment="1">
      <alignment horizontal="center" vertical="center" wrapText="1"/>
    </xf>
    <xf numFmtId="0" fontId="87" fillId="0" borderId="40" xfId="18" applyFont="1" applyBorder="1" applyAlignment="1">
      <alignment horizontal="left" vertical="center" wrapText="1"/>
    </xf>
    <xf numFmtId="0" fontId="87" fillId="0" borderId="1" xfId="18" applyFont="1" applyBorder="1" applyAlignment="1">
      <alignment horizontal="left" vertical="center" wrapText="1"/>
    </xf>
    <xf numFmtId="0" fontId="87" fillId="0" borderId="30" xfId="18" applyFont="1" applyBorder="1" applyAlignment="1">
      <alignment horizontal="left" vertical="center" wrapText="1"/>
    </xf>
    <xf numFmtId="0" fontId="87" fillId="0" borderId="115" xfId="18" applyFont="1" applyBorder="1" applyAlignment="1">
      <alignment horizontal="center" vertical="center" wrapText="1"/>
    </xf>
    <xf numFmtId="0" fontId="87" fillId="0" borderId="116" xfId="18" applyFont="1" applyBorder="1" applyAlignment="1">
      <alignment horizontal="center" vertical="center" wrapText="1"/>
    </xf>
    <xf numFmtId="0" fontId="87" fillId="0" borderId="117" xfId="18" applyFont="1" applyBorder="1" applyAlignment="1">
      <alignment horizontal="center" vertical="center" wrapText="1"/>
    </xf>
    <xf numFmtId="0" fontId="99" fillId="0" borderId="39" xfId="18" applyFont="1" applyBorder="1" applyAlignment="1">
      <alignment horizontal="center" vertical="center" wrapText="1"/>
    </xf>
    <xf numFmtId="0" fontId="87" fillId="0" borderId="33" xfId="18" applyFont="1" applyBorder="1" applyAlignment="1">
      <alignment horizontal="left" vertical="center" wrapText="1"/>
    </xf>
    <xf numFmtId="0" fontId="87" fillId="0" borderId="15" xfId="18" applyFont="1" applyBorder="1" applyAlignment="1">
      <alignment horizontal="left" vertical="center" wrapText="1"/>
    </xf>
    <xf numFmtId="0" fontId="87" fillId="0" borderId="18" xfId="18" applyFont="1" applyBorder="1" applyAlignment="1">
      <alignment horizontal="left" vertical="center" wrapText="1"/>
    </xf>
    <xf numFmtId="0" fontId="93" fillId="0" borderId="0" xfId="18" applyFont="1" applyAlignment="1">
      <alignment horizontal="center" vertical="center"/>
    </xf>
    <xf numFmtId="0" fontId="94" fillId="0" borderId="0" xfId="18" applyFont="1" applyAlignment="1">
      <alignment horizontal="center" vertical="center"/>
    </xf>
    <xf numFmtId="0" fontId="95" fillId="0" borderId="0" xfId="18" applyFont="1" applyAlignment="1">
      <alignment horizontal="center" vertical="center"/>
    </xf>
    <xf numFmtId="0" fontId="96" fillId="0" borderId="0" xfId="18" applyFont="1" applyAlignment="1">
      <alignment horizontal="center" vertical="center"/>
    </xf>
    <xf numFmtId="38" fontId="87" fillId="0" borderId="115" xfId="18" applyNumberFormat="1" applyFont="1" applyBorder="1" applyAlignment="1">
      <alignment horizontal="center" vertical="center" wrapText="1"/>
    </xf>
    <xf numFmtId="38" fontId="87" fillId="0" borderId="116" xfId="18" applyNumberFormat="1" applyFont="1" applyBorder="1" applyAlignment="1">
      <alignment horizontal="center" vertical="center" wrapText="1"/>
    </xf>
    <xf numFmtId="38" fontId="87" fillId="0" borderId="117" xfId="18" applyNumberFormat="1" applyFont="1" applyBorder="1" applyAlignment="1">
      <alignment horizontal="center" vertical="center" wrapText="1"/>
    </xf>
    <xf numFmtId="38" fontId="99" fillId="0" borderId="115" xfId="18" applyNumberFormat="1" applyFont="1" applyBorder="1" applyAlignment="1">
      <alignment horizontal="center" vertical="center" wrapText="1"/>
    </xf>
    <xf numFmtId="38" fontId="99" fillId="0" borderId="116" xfId="18" applyNumberFormat="1" applyFont="1" applyBorder="1" applyAlignment="1">
      <alignment horizontal="center" vertical="center" wrapText="1"/>
    </xf>
    <xf numFmtId="38" fontId="99" fillId="0" borderId="117" xfId="18" applyNumberFormat="1" applyFont="1" applyBorder="1" applyAlignment="1">
      <alignment horizontal="center" vertical="center" wrapText="1"/>
    </xf>
    <xf numFmtId="0" fontId="99" fillId="0" borderId="115" xfId="18" applyFont="1" applyBorder="1" applyAlignment="1">
      <alignment horizontal="center" vertical="center" wrapText="1"/>
    </xf>
    <xf numFmtId="0" fontId="99" fillId="0" borderId="116" xfId="18" applyFont="1" applyBorder="1" applyAlignment="1">
      <alignment horizontal="center" vertical="center" wrapText="1"/>
    </xf>
    <xf numFmtId="0" fontId="99" fillId="0" borderId="117" xfId="18" applyFont="1" applyBorder="1" applyAlignment="1">
      <alignment horizontal="center" vertical="center" wrapText="1"/>
    </xf>
    <xf numFmtId="0" fontId="97" fillId="0" borderId="118" xfId="18" applyFont="1" applyBorder="1" applyAlignment="1">
      <alignment horizontal="left" vertical="center" wrapText="1"/>
    </xf>
    <xf numFmtId="0" fontId="97" fillId="0" borderId="36" xfId="18" applyFont="1" applyBorder="1" applyAlignment="1">
      <alignment horizontal="left" vertical="center" wrapText="1"/>
    </xf>
    <xf numFmtId="0" fontId="97" fillId="0" borderId="11" xfId="18" applyFont="1" applyBorder="1" applyAlignment="1">
      <alignment horizontal="left" vertical="center" wrapText="1"/>
    </xf>
    <xf numFmtId="0" fontId="97" fillId="0" borderId="88" xfId="18" applyFont="1" applyBorder="1" applyAlignment="1">
      <alignment horizontal="left" vertical="center" wrapText="1"/>
    </xf>
    <xf numFmtId="0" fontId="97" fillId="0" borderId="95" xfId="18" applyFont="1" applyBorder="1" applyAlignment="1">
      <alignment horizontal="left" vertical="center" wrapText="1"/>
    </xf>
    <xf numFmtId="0" fontId="97" fillId="0" borderId="100" xfId="18" applyFont="1" applyBorder="1" applyAlignment="1">
      <alignment horizontal="left" vertical="center" wrapText="1"/>
    </xf>
    <xf numFmtId="0" fontId="87" fillId="0" borderId="105" xfId="18" applyFont="1" applyBorder="1" applyAlignment="1">
      <alignment horizontal="left" vertical="center" wrapText="1"/>
    </xf>
    <xf numFmtId="0" fontId="87" fillId="0" borderId="89" xfId="18" applyFont="1" applyBorder="1" applyAlignment="1">
      <alignment horizontal="left" vertical="center" wrapText="1"/>
    </xf>
    <xf numFmtId="0" fontId="87" fillId="0" borderId="90" xfId="18" applyFont="1" applyBorder="1" applyAlignment="1">
      <alignment horizontal="left" vertical="center" wrapText="1"/>
    </xf>
    <xf numFmtId="0" fontId="100" fillId="0" borderId="106" xfId="18" applyFont="1" applyBorder="1" applyAlignment="1">
      <alignment horizontal="center" vertical="center" wrapText="1"/>
    </xf>
    <xf numFmtId="0" fontId="100" fillId="0" borderId="89" xfId="18" applyFont="1" applyBorder="1" applyAlignment="1">
      <alignment horizontal="center" vertical="center" wrapText="1"/>
    </xf>
    <xf numFmtId="0" fontId="100" fillId="0" borderId="90" xfId="18" applyFont="1" applyBorder="1" applyAlignment="1">
      <alignment horizontal="center" vertical="center" wrapText="1"/>
    </xf>
    <xf numFmtId="0" fontId="100" fillId="0" borderId="91" xfId="18" applyFont="1" applyBorder="1" applyAlignment="1">
      <alignment horizontal="center" vertical="center" wrapText="1"/>
    </xf>
    <xf numFmtId="0" fontId="98" fillId="0" borderId="39" xfId="18" applyFont="1" applyBorder="1" applyAlignment="1">
      <alignment horizontal="left" vertical="center" wrapText="1"/>
    </xf>
    <xf numFmtId="0" fontId="87" fillId="0" borderId="47" xfId="18" applyFont="1" applyBorder="1" applyAlignment="1">
      <alignment horizontal="left" vertical="center" wrapText="1"/>
    </xf>
    <xf numFmtId="0" fontId="87" fillId="0" borderId="101" xfId="18" applyFont="1" applyBorder="1" applyAlignment="1">
      <alignment horizontal="left" vertical="center" wrapText="1"/>
    </xf>
    <xf numFmtId="0" fontId="87" fillId="0" borderId="48" xfId="18" applyFont="1" applyBorder="1" applyAlignment="1">
      <alignment horizontal="left" vertical="center" wrapText="1"/>
    </xf>
    <xf numFmtId="0" fontId="100" fillId="0" borderId="50" xfId="18" applyFont="1" applyBorder="1" applyAlignment="1">
      <alignment horizontal="center" vertical="center" wrapText="1"/>
    </xf>
    <xf numFmtId="0" fontId="100" fillId="0" borderId="101" xfId="18" applyFont="1" applyBorder="1" applyAlignment="1">
      <alignment horizontal="center" vertical="center" wrapText="1"/>
    </xf>
    <xf numFmtId="0" fontId="100" fillId="0" borderId="48" xfId="18" applyFont="1" applyBorder="1" applyAlignment="1">
      <alignment horizontal="center" vertical="center" wrapText="1"/>
    </xf>
    <xf numFmtId="0" fontId="100" fillId="0" borderId="102" xfId="18" applyFont="1" applyBorder="1" applyAlignment="1">
      <alignment horizontal="center" vertical="center" wrapText="1"/>
    </xf>
    <xf numFmtId="0" fontId="88" fillId="0" borderId="103" xfId="18" applyFont="1" applyBorder="1" applyAlignment="1">
      <alignment horizontal="left" vertical="center" wrapText="1"/>
    </xf>
    <xf numFmtId="0" fontId="88" fillId="0" borderId="49" xfId="18" applyFont="1" applyBorder="1" applyAlignment="1">
      <alignment horizontal="left" vertical="center" wrapText="1"/>
    </xf>
    <xf numFmtId="0" fontId="103" fillId="0" borderId="49" xfId="18" applyFont="1" applyBorder="1" applyAlignment="1">
      <alignment horizontal="center" vertical="center" wrapText="1"/>
    </xf>
    <xf numFmtId="0" fontId="103" fillId="0" borderId="104" xfId="18" applyFont="1" applyBorder="1" applyAlignment="1">
      <alignment horizontal="center" vertical="center" wrapText="1"/>
    </xf>
    <xf numFmtId="0" fontId="88" fillId="0" borderId="92" xfId="18" applyFont="1" applyBorder="1" applyAlignment="1">
      <alignment horizontal="left" vertical="center" wrapText="1"/>
    </xf>
    <xf numFmtId="0" fontId="88" fillId="0" borderId="93" xfId="18" applyFont="1" applyBorder="1" applyAlignment="1">
      <alignment horizontal="left" vertical="center" wrapText="1"/>
    </xf>
    <xf numFmtId="0" fontId="103" fillId="0" borderId="93" xfId="18" applyFont="1" applyBorder="1" applyAlignment="1">
      <alignment horizontal="center" vertical="center" wrapText="1"/>
    </xf>
    <xf numFmtId="0" fontId="103" fillId="0" borderId="94" xfId="18" applyFont="1" applyBorder="1" applyAlignment="1">
      <alignment horizontal="center" vertical="center" wrapText="1"/>
    </xf>
    <xf numFmtId="0" fontId="87" fillId="0" borderId="96" xfId="18" applyFont="1" applyBorder="1" applyAlignment="1">
      <alignment horizontal="left" vertical="center" wrapText="1"/>
    </xf>
    <xf numFmtId="0" fontId="87" fillId="0" borderId="19" xfId="18" applyFont="1" applyBorder="1" applyAlignment="1">
      <alignment horizontal="left" vertical="center" wrapText="1"/>
    </xf>
    <xf numFmtId="0" fontId="100" fillId="0" borderId="16" xfId="18" applyFont="1" applyBorder="1" applyAlignment="1">
      <alignment horizontal="center" vertical="center" wrapText="1"/>
    </xf>
    <xf numFmtId="0" fontId="100" fillId="0" borderId="19" xfId="18" applyFont="1" applyBorder="1" applyAlignment="1">
      <alignment horizontal="center" vertical="center" wrapText="1"/>
    </xf>
    <xf numFmtId="0" fontId="100" fillId="0" borderId="33" xfId="18" applyFont="1" applyBorder="1" applyAlignment="1">
      <alignment horizontal="center" vertical="center" wrapText="1"/>
    </xf>
    <xf numFmtId="0" fontId="100" fillId="0" borderId="97" xfId="18" applyFont="1" applyBorder="1" applyAlignment="1">
      <alignment horizontal="center" vertical="center" wrapText="1"/>
    </xf>
    <xf numFmtId="0" fontId="88" fillId="0" borderId="98" xfId="18" applyFont="1" applyBorder="1" applyAlignment="1">
      <alignment horizontal="left" vertical="center" wrapText="1"/>
    </xf>
    <xf numFmtId="0" fontId="88" fillId="0" borderId="15" xfId="18" applyFont="1" applyBorder="1" applyAlignment="1">
      <alignment horizontal="left" vertical="center" wrapText="1"/>
    </xf>
    <xf numFmtId="0" fontId="103" fillId="0" borderId="15" xfId="18" applyFont="1" applyBorder="1" applyAlignment="1">
      <alignment horizontal="center" vertical="center" wrapText="1"/>
    </xf>
    <xf numFmtId="0" fontId="103" fillId="0" borderId="99" xfId="18" applyFont="1" applyBorder="1" applyAlignment="1">
      <alignment horizontal="center" vertical="center" wrapText="1"/>
    </xf>
    <xf numFmtId="0" fontId="97" fillId="0" borderId="17" xfId="18" applyFont="1" applyBorder="1" applyAlignment="1">
      <alignment horizontal="left" vertical="center" wrapText="1"/>
    </xf>
    <xf numFmtId="0" fontId="100" fillId="0" borderId="105" xfId="18" applyFont="1" applyBorder="1" applyAlignment="1">
      <alignment horizontal="center" vertical="center" wrapText="1"/>
    </xf>
    <xf numFmtId="0" fontId="103" fillId="0" borderId="105" xfId="18" applyFont="1" applyBorder="1" applyAlignment="1">
      <alignment horizontal="center" vertical="center" wrapText="1"/>
    </xf>
    <xf numFmtId="0" fontId="103" fillId="0" borderId="89" xfId="18" applyFont="1" applyBorder="1" applyAlignment="1">
      <alignment horizontal="center" vertical="center" wrapText="1"/>
    </xf>
    <xf numFmtId="0" fontId="103" fillId="0" borderId="91" xfId="18" applyFont="1" applyBorder="1" applyAlignment="1">
      <alignment horizontal="center" vertical="center" wrapText="1"/>
    </xf>
    <xf numFmtId="0" fontId="101" fillId="0" borderId="47" xfId="18" applyFont="1" applyBorder="1" applyAlignment="1">
      <alignment horizontal="center" vertical="center" wrapText="1"/>
    </xf>
    <xf numFmtId="0" fontId="101" fillId="0" borderId="101" xfId="18" applyFont="1" applyBorder="1" applyAlignment="1">
      <alignment horizontal="center" vertical="center" wrapText="1"/>
    </xf>
    <xf numFmtId="0" fontId="101" fillId="0" borderId="48" xfId="18" applyFont="1" applyBorder="1" applyAlignment="1">
      <alignment horizontal="center" vertical="center" wrapText="1"/>
    </xf>
    <xf numFmtId="0" fontId="87" fillId="0" borderId="50" xfId="18" applyFont="1" applyBorder="1" applyAlignment="1">
      <alignment horizontal="center" vertical="center" wrapText="1"/>
    </xf>
    <xf numFmtId="0" fontId="87" fillId="0" borderId="101" xfId="18" applyFont="1" applyBorder="1" applyAlignment="1">
      <alignment horizontal="center" vertical="center" wrapText="1"/>
    </xf>
    <xf numFmtId="0" fontId="87" fillId="0" borderId="102" xfId="18" applyFont="1" applyBorder="1" applyAlignment="1">
      <alignment horizontal="center" vertical="center" wrapText="1"/>
    </xf>
    <xf numFmtId="0" fontId="99" fillId="0" borderId="123" xfId="18" applyFont="1" applyBorder="1" applyAlignment="1">
      <alignment horizontal="center" vertical="center" wrapText="1"/>
    </xf>
    <xf numFmtId="0" fontId="99" fillId="0" borderId="86" xfId="18" applyFont="1" applyBorder="1" applyAlignment="1">
      <alignment horizontal="center" vertical="center" wrapText="1"/>
    </xf>
    <xf numFmtId="0" fontId="99" fillId="0" borderId="124" xfId="18" applyFont="1" applyBorder="1" applyAlignment="1">
      <alignment horizontal="center" vertical="center" wrapText="1"/>
    </xf>
    <xf numFmtId="0" fontId="99" fillId="0" borderId="47" xfId="18" applyFont="1" applyBorder="1" applyAlignment="1">
      <alignment horizontal="center" vertical="center" wrapText="1"/>
    </xf>
    <xf numFmtId="0" fontId="99" fillId="0" borderId="101" xfId="18" applyFont="1" applyBorder="1" applyAlignment="1">
      <alignment horizontal="center" vertical="center" wrapText="1"/>
    </xf>
    <xf numFmtId="0" fontId="99" fillId="0" borderId="102" xfId="18" applyFont="1" applyBorder="1" applyAlignment="1">
      <alignment horizontal="center" vertical="center" wrapText="1"/>
    </xf>
    <xf numFmtId="0" fontId="87" fillId="0" borderId="107" xfId="18" applyFont="1" applyBorder="1" applyAlignment="1">
      <alignment horizontal="left" vertical="center" wrapText="1"/>
    </xf>
    <xf numFmtId="0" fontId="87" fillId="0" borderId="108" xfId="18" applyFont="1" applyBorder="1" applyAlignment="1">
      <alignment horizontal="left" vertical="center" wrapText="1"/>
    </xf>
    <xf numFmtId="0" fontId="87" fillId="0" borderId="109" xfId="18" applyFont="1" applyBorder="1" applyAlignment="1">
      <alignment horizontal="left" vertical="center" wrapText="1"/>
    </xf>
    <xf numFmtId="0" fontId="87" fillId="0" borderId="110" xfId="18" applyFont="1" applyBorder="1" applyAlignment="1">
      <alignment horizontal="left" vertical="center" wrapText="1"/>
    </xf>
    <xf numFmtId="0" fontId="87" fillId="0" borderId="13" xfId="18" applyFont="1" applyBorder="1" applyAlignment="1">
      <alignment horizontal="left" vertical="center" wrapText="1"/>
    </xf>
    <xf numFmtId="0" fontId="87" fillId="0" borderId="32" xfId="18" applyFont="1" applyBorder="1" applyAlignment="1">
      <alignment horizontal="left" vertical="center" wrapText="1"/>
    </xf>
    <xf numFmtId="0" fontId="87" fillId="0" borderId="111" xfId="18" applyFont="1" applyBorder="1" applyAlignment="1">
      <alignment horizontal="left" vertical="center" wrapText="1"/>
    </xf>
    <xf numFmtId="0" fontId="87" fillId="0" borderId="86" xfId="18" applyFont="1" applyBorder="1" applyAlignment="1">
      <alignment horizontal="left" vertical="center" wrapText="1"/>
    </xf>
    <xf numFmtId="0" fontId="87" fillId="0" borderId="87" xfId="18" applyFont="1" applyBorder="1" applyAlignment="1">
      <alignment horizontal="left" vertical="center" wrapText="1"/>
    </xf>
    <xf numFmtId="0" fontId="88" fillId="0" borderId="33" xfId="18" applyFont="1" applyBorder="1" applyAlignment="1">
      <alignment horizontal="left" vertical="center" wrapText="1"/>
    </xf>
    <xf numFmtId="0" fontId="88" fillId="0" borderId="121" xfId="18" applyFont="1" applyBorder="1" applyAlignment="1">
      <alignment horizontal="left" vertical="center" wrapText="1"/>
    </xf>
    <xf numFmtId="0" fontId="87" fillId="0" borderId="16" xfId="18" applyFont="1" applyBorder="1" applyAlignment="1">
      <alignment horizontal="left" vertical="center" wrapText="1"/>
    </xf>
    <xf numFmtId="0" fontId="87" fillId="0" borderId="97" xfId="18" applyFont="1" applyBorder="1" applyAlignment="1">
      <alignment horizontal="left" vertical="center" wrapText="1"/>
    </xf>
    <xf numFmtId="0" fontId="87" fillId="0" borderId="50" xfId="18" applyFont="1" applyBorder="1" applyAlignment="1">
      <alignment horizontal="left" vertical="center" wrapText="1"/>
    </xf>
    <xf numFmtId="0" fontId="87" fillId="0" borderId="112" xfId="18" applyFont="1" applyBorder="1" applyAlignment="1">
      <alignment horizontal="left" vertical="center" wrapText="1"/>
    </xf>
    <xf numFmtId="0" fontId="87" fillId="0" borderId="113" xfId="18" applyFont="1" applyBorder="1" applyAlignment="1">
      <alignment horizontal="left" vertical="center" wrapText="1"/>
    </xf>
    <xf numFmtId="0" fontId="87" fillId="0" borderId="114" xfId="18" applyFont="1" applyBorder="1" applyAlignment="1">
      <alignment horizontal="left" vertical="center" wrapText="1"/>
    </xf>
    <xf numFmtId="0" fontId="88" fillId="0" borderId="119" xfId="18" applyFont="1" applyBorder="1" applyAlignment="1">
      <alignment horizontal="left" vertical="center" wrapText="1"/>
    </xf>
    <xf numFmtId="0" fontId="88" fillId="0" borderId="9" xfId="18" applyFont="1" applyBorder="1" applyAlignment="1">
      <alignment horizontal="left" vertical="center" wrapText="1"/>
    </xf>
    <xf numFmtId="0" fontId="103" fillId="0" borderId="9" xfId="18" applyFont="1" applyBorder="1" applyAlignment="1">
      <alignment horizontal="center" vertical="center" wrapText="1"/>
    </xf>
    <xf numFmtId="0" fontId="103" fillId="0" borderId="125" xfId="18" applyFont="1" applyBorder="1" applyAlignment="1">
      <alignment horizontal="center" vertical="center" wrapText="1"/>
    </xf>
    <xf numFmtId="0" fontId="88" fillId="0" borderId="39" xfId="18" applyFont="1" applyBorder="1" applyAlignment="1">
      <alignment horizontal="center" vertical="center" wrapText="1"/>
    </xf>
    <xf numFmtId="0" fontId="104" fillId="0" borderId="33" xfId="18" applyFont="1" applyBorder="1" applyAlignment="1">
      <alignment horizontal="left" vertical="center" wrapText="1"/>
    </xf>
    <xf numFmtId="0" fontId="104" fillId="0" borderId="15" xfId="18" applyFont="1" applyBorder="1" applyAlignment="1">
      <alignment horizontal="left" vertical="center" wrapText="1"/>
    </xf>
    <xf numFmtId="0" fontId="104" fillId="0" borderId="18" xfId="18" applyFont="1" applyBorder="1" applyAlignment="1">
      <alignment horizontal="left" vertical="center" wrapText="1"/>
    </xf>
    <xf numFmtId="0" fontId="101" fillId="0" borderId="105" xfId="18" applyFont="1" applyBorder="1" applyAlignment="1">
      <alignment horizontal="center" vertical="center" wrapText="1"/>
    </xf>
    <xf numFmtId="0" fontId="101" fillId="0" borderId="90" xfId="18" applyFont="1" applyBorder="1" applyAlignment="1">
      <alignment horizontal="center" vertical="center" wrapText="1"/>
    </xf>
    <xf numFmtId="0" fontId="101" fillId="0" borderId="106" xfId="18" applyFont="1" applyBorder="1" applyAlignment="1">
      <alignment horizontal="center" vertical="center" wrapText="1"/>
    </xf>
    <xf numFmtId="0" fontId="101" fillId="0" borderId="89" xfId="18" applyFont="1" applyBorder="1" applyAlignment="1">
      <alignment horizontal="center" vertical="center" wrapText="1"/>
    </xf>
    <xf numFmtId="0" fontId="87" fillId="0" borderId="33" xfId="18" applyFont="1" applyBorder="1" applyAlignment="1">
      <alignment horizontal="left" vertical="top" wrapText="1"/>
    </xf>
    <xf numFmtId="0" fontId="87" fillId="0" borderId="15" xfId="18" applyFont="1" applyBorder="1" applyAlignment="1">
      <alignment horizontal="left" vertical="top" wrapText="1"/>
    </xf>
    <xf numFmtId="0" fontId="87" fillId="0" borderId="18" xfId="18" applyFont="1" applyBorder="1" applyAlignment="1">
      <alignment horizontal="left" vertical="top" wrapText="1"/>
    </xf>
    <xf numFmtId="38" fontId="87" fillId="0" borderId="47" xfId="18" applyNumberFormat="1" applyFont="1" applyBorder="1" applyAlignment="1">
      <alignment horizontal="left" vertical="center" wrapText="1"/>
    </xf>
    <xf numFmtId="38" fontId="87" fillId="0" borderId="48" xfId="18" applyNumberFormat="1" applyFont="1" applyBorder="1" applyAlignment="1">
      <alignment horizontal="left" vertical="center" wrapText="1"/>
    </xf>
    <xf numFmtId="38" fontId="87" fillId="0" borderId="50" xfId="18" applyNumberFormat="1" applyFont="1" applyBorder="1" applyAlignment="1">
      <alignment horizontal="left" vertical="center" wrapText="1"/>
    </xf>
    <xf numFmtId="38" fontId="87" fillId="0" borderId="101" xfId="18" applyNumberFormat="1" applyFont="1" applyBorder="1" applyAlignment="1">
      <alignment horizontal="left" vertical="center" wrapText="1"/>
    </xf>
    <xf numFmtId="0" fontId="101" fillId="0" borderId="91" xfId="18" applyFont="1" applyBorder="1" applyAlignment="1">
      <alignment horizontal="center" vertical="center" wrapText="1"/>
    </xf>
    <xf numFmtId="0" fontId="105" fillId="0" borderId="92" xfId="18" applyFont="1" applyBorder="1" applyAlignment="1">
      <alignment horizontal="center" vertical="center" wrapText="1"/>
    </xf>
    <xf numFmtId="0" fontId="105" fillId="0" borderId="93" xfId="18" applyFont="1" applyBorder="1" applyAlignment="1">
      <alignment horizontal="center" vertical="center" wrapText="1"/>
    </xf>
    <xf numFmtId="164" fontId="99" fillId="0" borderId="39" xfId="3" applyNumberFormat="1" applyFont="1" applyBorder="1" applyAlignment="1">
      <alignment horizontal="center" vertical="center" wrapText="1"/>
    </xf>
    <xf numFmtId="38" fontId="99" fillId="0" borderId="39" xfId="18" applyNumberFormat="1" applyFont="1" applyBorder="1" applyAlignment="1">
      <alignment horizontal="center" vertical="center" wrapText="1"/>
    </xf>
    <xf numFmtId="40" fontId="87" fillId="0" borderId="115" xfId="18" applyNumberFormat="1" applyFont="1" applyBorder="1" applyAlignment="1">
      <alignment horizontal="center" vertical="center" wrapText="1"/>
    </xf>
    <xf numFmtId="40" fontId="87" fillId="0" borderId="116" xfId="18" applyNumberFormat="1" applyFont="1" applyBorder="1" applyAlignment="1">
      <alignment horizontal="center" vertical="center" wrapText="1"/>
    </xf>
    <xf numFmtId="40" fontId="87" fillId="0" borderId="117" xfId="18" applyNumberFormat="1" applyFont="1" applyBorder="1" applyAlignment="1">
      <alignment horizontal="center" vertical="center" wrapText="1"/>
    </xf>
    <xf numFmtId="40" fontId="99" fillId="0" borderId="39" xfId="18" applyNumberFormat="1" applyFont="1" applyBorder="1" applyAlignment="1">
      <alignment horizontal="center" vertical="center" wrapText="1"/>
    </xf>
    <xf numFmtId="38" fontId="87" fillId="0" borderId="102" xfId="18" applyNumberFormat="1" applyFont="1" applyBorder="1" applyAlignment="1">
      <alignment horizontal="left" vertical="center" wrapText="1"/>
    </xf>
    <xf numFmtId="38" fontId="107" fillId="0" borderId="103" xfId="18" applyNumberFormat="1" applyFont="1" applyBorder="1" applyAlignment="1">
      <alignment horizontal="center" vertical="center" wrapText="1"/>
    </xf>
    <xf numFmtId="0" fontId="107" fillId="0" borderId="49" xfId="18" applyFont="1" applyBorder="1" applyAlignment="1">
      <alignment horizontal="center" vertical="center" wrapText="1"/>
    </xf>
    <xf numFmtId="38" fontId="107" fillId="0" borderId="49" xfId="18" applyNumberFormat="1" applyFont="1" applyBorder="1" applyAlignment="1">
      <alignment horizontal="center" vertical="center" wrapText="1"/>
    </xf>
    <xf numFmtId="0" fontId="107" fillId="0" borderId="104" xfId="18" applyFont="1" applyBorder="1" applyAlignment="1">
      <alignment horizontal="center" vertical="center" wrapText="1"/>
    </xf>
    <xf numFmtId="0" fontId="105" fillId="0" borderId="94" xfId="18" applyFont="1" applyBorder="1" applyAlignment="1">
      <alignment horizontal="center" vertical="center" wrapText="1"/>
    </xf>
    <xf numFmtId="0" fontId="97" fillId="0" borderId="88" xfId="18" applyFont="1" applyBorder="1" applyAlignment="1">
      <alignment horizontal="center" vertical="center" wrapText="1"/>
    </xf>
    <xf numFmtId="0" fontId="97" fillId="0" borderId="95" xfId="18" applyFont="1" applyBorder="1" applyAlignment="1">
      <alignment horizontal="center" vertical="center" wrapText="1"/>
    </xf>
    <xf numFmtId="0" fontId="97" fillId="0" borderId="100" xfId="18" applyFont="1" applyBorder="1" applyAlignment="1">
      <alignment horizontal="center" vertical="center" wrapText="1"/>
    </xf>
    <xf numFmtId="164" fontId="87" fillId="0" borderId="115" xfId="3" applyNumberFormat="1" applyFont="1" applyBorder="1" applyAlignment="1">
      <alignment horizontal="center" vertical="center" wrapText="1"/>
    </xf>
    <xf numFmtId="164" fontId="87" fillId="0" borderId="116" xfId="3" applyNumberFormat="1" applyFont="1" applyBorder="1" applyAlignment="1">
      <alignment horizontal="center" vertical="center" wrapText="1"/>
    </xf>
    <xf numFmtId="164" fontId="87" fillId="0" borderId="117" xfId="3" applyNumberFormat="1" applyFont="1" applyBorder="1" applyAlignment="1">
      <alignment horizontal="center" vertical="center" wrapText="1"/>
    </xf>
    <xf numFmtId="38" fontId="99" fillId="0" borderId="15" xfId="18" applyNumberFormat="1" applyFont="1" applyBorder="1" applyAlignment="1">
      <alignment horizontal="center" vertical="center" wrapText="1"/>
    </xf>
    <xf numFmtId="0" fontId="99" fillId="0" borderId="15" xfId="18" applyFont="1" applyBorder="1" applyAlignment="1">
      <alignment horizontal="center" vertical="center" wrapText="1"/>
    </xf>
    <xf numFmtId="0" fontId="99" fillId="0" borderId="99" xfId="18" applyFont="1" applyBorder="1" applyAlignment="1">
      <alignment horizontal="center" vertical="center" wrapText="1"/>
    </xf>
    <xf numFmtId="38" fontId="87" fillId="0" borderId="50" xfId="18" applyNumberFormat="1" applyFont="1" applyBorder="1" applyAlignment="1">
      <alignment horizontal="center" vertical="center" wrapText="1"/>
    </xf>
    <xf numFmtId="38" fontId="87" fillId="0" borderId="101" xfId="18" applyNumberFormat="1" applyFont="1" applyBorder="1" applyAlignment="1">
      <alignment horizontal="center" vertical="center" wrapText="1"/>
    </xf>
    <xf numFmtId="38" fontId="87" fillId="0" borderId="102" xfId="18" applyNumberFormat="1" applyFont="1" applyBorder="1" applyAlignment="1">
      <alignment horizontal="center" vertical="center" wrapText="1"/>
    </xf>
    <xf numFmtId="38" fontId="87" fillId="0" borderId="106" xfId="18" applyNumberFormat="1" applyFont="1" applyBorder="1" applyAlignment="1">
      <alignment horizontal="center" vertical="center" wrapText="1"/>
    </xf>
    <xf numFmtId="38" fontId="87" fillId="0" borderId="89" xfId="18" applyNumberFormat="1" applyFont="1" applyBorder="1" applyAlignment="1">
      <alignment horizontal="center" vertical="center" wrapText="1"/>
    </xf>
    <xf numFmtId="38" fontId="87" fillId="0" borderId="91" xfId="18" applyNumberFormat="1" applyFont="1" applyBorder="1" applyAlignment="1">
      <alignment horizontal="center" vertical="center" wrapText="1"/>
    </xf>
    <xf numFmtId="38" fontId="99" fillId="0" borderId="93" xfId="18" applyNumberFormat="1" applyFont="1" applyBorder="1" applyAlignment="1">
      <alignment horizontal="center" vertical="center" wrapText="1"/>
    </xf>
    <xf numFmtId="0" fontId="99" fillId="0" borderId="93" xfId="18" applyFont="1" applyBorder="1" applyAlignment="1">
      <alignment horizontal="center" vertical="center" wrapText="1"/>
    </xf>
    <xf numFmtId="0" fontId="99" fillId="0" borderId="94" xfId="18" applyFont="1" applyBorder="1" applyAlignment="1">
      <alignment horizontal="center" vertical="center" wrapText="1"/>
    </xf>
    <xf numFmtId="38" fontId="87" fillId="0" borderId="96" xfId="18" applyNumberFormat="1" applyFont="1" applyBorder="1" applyAlignment="1">
      <alignment horizontal="left" vertical="center" wrapText="1"/>
    </xf>
    <xf numFmtId="38" fontId="87" fillId="0" borderId="19" xfId="18" applyNumberFormat="1" applyFont="1" applyBorder="1" applyAlignment="1">
      <alignment horizontal="left" vertical="center" wrapText="1"/>
    </xf>
    <xf numFmtId="38" fontId="87" fillId="0" borderId="33" xfId="18" applyNumberFormat="1" applyFont="1" applyBorder="1" applyAlignment="1">
      <alignment horizontal="left" vertical="center" wrapText="1"/>
    </xf>
    <xf numFmtId="38" fontId="87" fillId="0" borderId="16" xfId="18" applyNumberFormat="1" applyFont="1" applyBorder="1" applyAlignment="1">
      <alignment horizontal="center" vertical="center" wrapText="1"/>
    </xf>
    <xf numFmtId="38" fontId="87" fillId="0" borderId="19" xfId="18" applyNumberFormat="1" applyFont="1" applyBorder="1" applyAlignment="1">
      <alignment horizontal="center" vertical="center" wrapText="1"/>
    </xf>
    <xf numFmtId="38" fontId="87" fillId="0" borderId="97" xfId="18" applyNumberFormat="1" applyFont="1" applyBorder="1" applyAlignment="1">
      <alignment horizontal="center" vertical="center" wrapText="1"/>
    </xf>
    <xf numFmtId="38" fontId="88" fillId="0" borderId="98" xfId="18" applyNumberFormat="1" applyFont="1" applyBorder="1" applyAlignment="1">
      <alignment horizontal="left" vertical="center" wrapText="1"/>
    </xf>
    <xf numFmtId="0" fontId="88" fillId="0" borderId="92" xfId="18" applyFont="1" applyBorder="1" applyAlignment="1">
      <alignment horizontal="center" vertical="center" wrapText="1"/>
    </xf>
    <xf numFmtId="0" fontId="88" fillId="0" borderId="93" xfId="18" applyFont="1" applyBorder="1" applyAlignment="1">
      <alignment horizontal="center" vertical="center" wrapText="1"/>
    </xf>
    <xf numFmtId="0" fontId="88" fillId="0" borderId="94" xfId="18" applyFont="1" applyBorder="1" applyAlignment="1">
      <alignment horizontal="center" vertical="center" wrapText="1"/>
    </xf>
    <xf numFmtId="0" fontId="88" fillId="0" borderId="90" xfId="18" applyFont="1" applyBorder="1" applyAlignment="1">
      <alignment horizontal="center" vertical="center" wrapText="1"/>
    </xf>
    <xf numFmtId="0" fontId="101" fillId="0" borderId="50" xfId="18" applyFont="1" applyBorder="1" applyAlignment="1">
      <alignment horizontal="left" vertical="center" wrapText="1"/>
    </xf>
    <xf numFmtId="0" fontId="101" fillId="0" borderId="102" xfId="18" applyFont="1" applyBorder="1" applyAlignment="1">
      <alignment horizontal="left" vertical="center" wrapText="1"/>
    </xf>
    <xf numFmtId="38" fontId="108" fillId="0" borderId="50" xfId="1" applyNumberFormat="1" applyFont="1" applyBorder="1" applyAlignment="1">
      <alignment horizontal="left" vertical="center" wrapText="1"/>
    </xf>
    <xf numFmtId="38" fontId="108" fillId="0" borderId="101" xfId="1" applyNumberFormat="1" applyFont="1" applyBorder="1" applyAlignment="1">
      <alignment horizontal="left" vertical="center" wrapText="1"/>
    </xf>
    <xf numFmtId="38" fontId="108" fillId="0" borderId="102" xfId="1" applyNumberFormat="1" applyFont="1" applyBorder="1" applyAlignment="1">
      <alignment horizontal="left" vertical="center" wrapText="1"/>
    </xf>
    <xf numFmtId="0" fontId="105" fillId="0" borderId="49" xfId="18" applyFont="1" applyBorder="1" applyAlignment="1">
      <alignment horizontal="left" vertical="center" wrapText="1"/>
    </xf>
    <xf numFmtId="0" fontId="105" fillId="0" borderId="104" xfId="18" applyFont="1" applyBorder="1" applyAlignment="1">
      <alignment horizontal="left" vertical="center" wrapText="1"/>
    </xf>
    <xf numFmtId="38" fontId="105" fillId="0" borderId="47" xfId="1" applyNumberFormat="1" applyFont="1" applyBorder="1" applyAlignment="1">
      <alignment horizontal="center" vertical="center" wrapText="1"/>
    </xf>
    <xf numFmtId="38" fontId="105" fillId="0" borderId="101" xfId="1" applyNumberFormat="1" applyFont="1" applyBorder="1" applyAlignment="1">
      <alignment horizontal="center" vertical="center" wrapText="1"/>
    </xf>
    <xf numFmtId="38" fontId="105" fillId="0" borderId="102" xfId="1" applyNumberFormat="1" applyFont="1" applyBorder="1" applyAlignment="1">
      <alignment horizontal="center" vertical="center" wrapText="1"/>
    </xf>
    <xf numFmtId="0" fontId="87" fillId="0" borderId="105" xfId="18" applyFont="1" applyBorder="1" applyAlignment="1">
      <alignment horizontal="center" vertical="center" wrapText="1"/>
    </xf>
    <xf numFmtId="0" fontId="87" fillId="0" borderId="89" xfId="18" applyFont="1" applyBorder="1" applyAlignment="1">
      <alignment horizontal="center" vertical="center" wrapText="1"/>
    </xf>
    <xf numFmtId="0" fontId="87" fillId="0" borderId="91" xfId="18" applyFont="1" applyBorder="1" applyAlignment="1">
      <alignment horizontal="center" vertical="center" wrapText="1"/>
    </xf>
    <xf numFmtId="0" fontId="103" fillId="0" borderId="121" xfId="18" applyFont="1" applyBorder="1" applyAlignment="1">
      <alignment horizontal="center" vertical="center" wrapText="1"/>
    </xf>
    <xf numFmtId="0" fontId="103" fillId="0" borderId="16" xfId="18" applyFont="1" applyBorder="1" applyAlignment="1">
      <alignment horizontal="center" vertical="center" wrapText="1"/>
    </xf>
    <xf numFmtId="0" fontId="103" fillId="0" borderId="19" xfId="18" applyFont="1" applyBorder="1" applyAlignment="1">
      <alignment horizontal="center" vertical="center" wrapText="1"/>
    </xf>
    <xf numFmtId="0" fontId="99" fillId="0" borderId="16" xfId="18" applyFont="1" applyBorder="1" applyAlignment="1">
      <alignment horizontal="center" vertical="center" wrapText="1"/>
    </xf>
    <xf numFmtId="0" fontId="99" fillId="0" borderId="19" xfId="18" applyFont="1" applyBorder="1" applyAlignment="1">
      <alignment horizontal="center" vertical="center" wrapText="1"/>
    </xf>
    <xf numFmtId="0" fontId="99" fillId="0" borderId="97" xfId="18" applyFont="1" applyBorder="1" applyAlignment="1">
      <alignment horizontal="center" vertical="center" wrapText="1"/>
    </xf>
    <xf numFmtId="0" fontId="103" fillId="0" borderId="97" xfId="18" applyFont="1" applyBorder="1" applyAlignment="1">
      <alignment horizontal="center" vertical="center" wrapText="1"/>
    </xf>
    <xf numFmtId="0" fontId="99" fillId="0" borderId="121" xfId="18" applyFont="1" applyBorder="1" applyAlignment="1">
      <alignment horizontal="center" vertical="center" wrapText="1"/>
    </xf>
    <xf numFmtId="0" fontId="115" fillId="0" borderId="39" xfId="18" applyFont="1" applyBorder="1" applyAlignment="1">
      <alignment horizontal="center" vertical="center" wrapText="1"/>
    </xf>
    <xf numFmtId="0" fontId="87" fillId="0" borderId="39" xfId="18" applyFont="1" applyBorder="1" applyAlignment="1">
      <alignment horizontal="center" vertical="center" wrapText="1"/>
    </xf>
    <xf numFmtId="0" fontId="111" fillId="0" borderId="0" xfId="18" applyFont="1" applyAlignment="1">
      <alignment horizontal="center" vertical="center"/>
    </xf>
    <xf numFmtId="0" fontId="112" fillId="0" borderId="0" xfId="18" applyFont="1" applyAlignment="1">
      <alignment horizontal="center" vertical="center"/>
    </xf>
    <xf numFmtId="0" fontId="113" fillId="0" borderId="0" xfId="18" applyFont="1" applyAlignment="1">
      <alignment horizontal="center" vertical="center"/>
    </xf>
    <xf numFmtId="38" fontId="115" fillId="0" borderId="115" xfId="18" applyNumberFormat="1" applyFont="1" applyBorder="1" applyAlignment="1">
      <alignment horizontal="center" vertical="center" wrapText="1"/>
    </xf>
    <xf numFmtId="38" fontId="115" fillId="0" borderId="116" xfId="18" applyNumberFormat="1" applyFont="1" applyBorder="1" applyAlignment="1">
      <alignment horizontal="center" vertical="center" wrapText="1"/>
    </xf>
    <xf numFmtId="38" fontId="115" fillId="0" borderId="117" xfId="18" applyNumberFormat="1" applyFont="1" applyBorder="1" applyAlignment="1">
      <alignment horizontal="center" vertical="center" wrapText="1"/>
    </xf>
    <xf numFmtId="0" fontId="24" fillId="0" borderId="15" xfId="15" applyFont="1" applyBorder="1" applyAlignment="1">
      <alignment horizontal="center" vertical="center" wrapText="1"/>
    </xf>
    <xf numFmtId="0" fontId="114" fillId="0" borderId="39" xfId="18" applyFont="1" applyBorder="1" applyAlignment="1">
      <alignment horizontal="left" vertical="center" wrapText="1"/>
    </xf>
    <xf numFmtId="0" fontId="90" fillId="0" borderId="92" xfId="18" applyFont="1" applyBorder="1" applyAlignment="1">
      <alignment horizontal="left" vertical="center" wrapText="1"/>
    </xf>
    <xf numFmtId="0" fontId="90" fillId="0" borderId="93" xfId="18" applyFont="1" applyBorder="1" applyAlignment="1">
      <alignment horizontal="left" vertical="center" wrapText="1"/>
    </xf>
    <xf numFmtId="0" fontId="117" fillId="0" borderId="93" xfId="18" applyFont="1" applyBorder="1" applyAlignment="1">
      <alignment horizontal="center" vertical="center" wrapText="1"/>
    </xf>
    <xf numFmtId="0" fontId="117" fillId="0" borderId="94" xfId="18" applyFont="1" applyBorder="1" applyAlignment="1">
      <alignment horizontal="center" vertical="center" wrapText="1"/>
    </xf>
    <xf numFmtId="0" fontId="97" fillId="0" borderId="39" xfId="18" applyFont="1" applyBorder="1" applyAlignment="1">
      <alignment horizontal="left" vertical="center" wrapText="1"/>
    </xf>
    <xf numFmtId="0" fontId="90" fillId="0" borderId="103" xfId="18" applyFont="1" applyBorder="1" applyAlignment="1">
      <alignment horizontal="left" vertical="center" wrapText="1"/>
    </xf>
    <xf numFmtId="0" fontId="90" fillId="0" borderId="49" xfId="18" applyFont="1" applyBorder="1" applyAlignment="1">
      <alignment horizontal="left" vertical="center" wrapText="1"/>
    </xf>
    <xf numFmtId="0" fontId="117" fillId="0" borderId="49" xfId="18" applyFont="1" applyBorder="1" applyAlignment="1">
      <alignment horizontal="center" vertical="center" wrapText="1"/>
    </xf>
    <xf numFmtId="0" fontId="117" fillId="0" borderId="104" xfId="18" applyFont="1" applyBorder="1" applyAlignment="1">
      <alignment horizontal="center" vertical="center" wrapText="1"/>
    </xf>
    <xf numFmtId="0" fontId="87" fillId="0" borderId="103" xfId="18" applyFont="1" applyBorder="1" applyAlignment="1">
      <alignment horizontal="left" vertical="center" wrapText="1"/>
    </xf>
    <xf numFmtId="0" fontId="87" fillId="0" borderId="49" xfId="18" applyFont="1" applyBorder="1" applyAlignment="1">
      <alignment horizontal="left" vertical="center" wrapText="1"/>
    </xf>
    <xf numFmtId="0" fontId="100" fillId="0" borderId="49" xfId="18" applyFont="1" applyBorder="1" applyAlignment="1">
      <alignment horizontal="center" vertical="center" wrapText="1"/>
    </xf>
    <xf numFmtId="0" fontId="100" fillId="0" borderId="104" xfId="18" applyFont="1" applyBorder="1" applyAlignment="1">
      <alignment horizontal="center" vertical="center" wrapText="1"/>
    </xf>
    <xf numFmtId="0" fontId="87" fillId="0" borderId="92" xfId="18" applyFont="1" applyBorder="1" applyAlignment="1">
      <alignment horizontal="left" vertical="center" wrapText="1"/>
    </xf>
    <xf numFmtId="0" fontId="87" fillId="0" borderId="93" xfId="18" applyFont="1" applyBorder="1" applyAlignment="1">
      <alignment horizontal="left" vertical="center" wrapText="1"/>
    </xf>
    <xf numFmtId="0" fontId="100" fillId="0" borderId="93" xfId="18" applyFont="1" applyBorder="1" applyAlignment="1">
      <alignment horizontal="center" vertical="center" wrapText="1"/>
    </xf>
    <xf numFmtId="0" fontId="100" fillId="0" borderId="94" xfId="18" applyFont="1" applyBorder="1" applyAlignment="1">
      <alignment horizontal="center" vertical="center" wrapText="1"/>
    </xf>
    <xf numFmtId="0" fontId="90" fillId="0" borderId="98" xfId="18" applyFont="1" applyBorder="1" applyAlignment="1">
      <alignment horizontal="left" vertical="center" wrapText="1"/>
    </xf>
    <xf numFmtId="0" fontId="90" fillId="0" borderId="15" xfId="18" applyFont="1" applyBorder="1" applyAlignment="1">
      <alignment horizontal="left" vertical="center" wrapText="1"/>
    </xf>
    <xf numFmtId="0" fontId="117" fillId="0" borderId="15" xfId="18" applyFont="1" applyBorder="1" applyAlignment="1">
      <alignment horizontal="center" vertical="center" wrapText="1"/>
    </xf>
    <xf numFmtId="0" fontId="117" fillId="0" borderId="99" xfId="18" applyFont="1" applyBorder="1" applyAlignment="1">
      <alignment horizontal="center" vertical="center" wrapText="1"/>
    </xf>
    <xf numFmtId="0" fontId="87" fillId="0" borderId="98" xfId="18" applyFont="1" applyBorder="1" applyAlignment="1">
      <alignment horizontal="left" vertical="center" wrapText="1"/>
    </xf>
    <xf numFmtId="0" fontId="100" fillId="0" borderId="15" xfId="18" applyFont="1" applyBorder="1" applyAlignment="1">
      <alignment horizontal="center" vertical="center" wrapText="1"/>
    </xf>
    <xf numFmtId="0" fontId="100" fillId="0" borderId="99" xfId="18" applyFont="1" applyBorder="1" applyAlignment="1">
      <alignment horizontal="center" vertical="center" wrapText="1"/>
    </xf>
    <xf numFmtId="0" fontId="117" fillId="0" borderId="105" xfId="18" applyFont="1" applyBorder="1" applyAlignment="1">
      <alignment horizontal="center" vertical="center" wrapText="1"/>
    </xf>
    <xf numFmtId="0" fontId="117" fillId="0" borderId="89" xfId="18" applyFont="1" applyBorder="1" applyAlignment="1">
      <alignment horizontal="center" vertical="center" wrapText="1"/>
    </xf>
    <xf numFmtId="0" fontId="117" fillId="0" borderId="91" xfId="18" applyFont="1" applyBorder="1" applyAlignment="1">
      <alignment horizontal="center" vertical="center" wrapText="1"/>
    </xf>
    <xf numFmtId="0" fontId="100" fillId="0" borderId="92" xfId="18" applyFont="1" applyBorder="1" applyAlignment="1">
      <alignment horizontal="center" vertical="center" wrapText="1"/>
    </xf>
    <xf numFmtId="0" fontId="115" fillId="0" borderId="123" xfId="18" applyFont="1" applyBorder="1" applyAlignment="1">
      <alignment horizontal="center" vertical="center" wrapText="1"/>
    </xf>
    <xf numFmtId="0" fontId="115" fillId="0" borderId="86" xfId="18" applyFont="1" applyBorder="1" applyAlignment="1">
      <alignment horizontal="center" vertical="center" wrapText="1"/>
    </xf>
    <xf numFmtId="0" fontId="115" fillId="0" borderId="124" xfId="18" applyFont="1" applyBorder="1" applyAlignment="1">
      <alignment horizontal="center" vertical="center" wrapText="1"/>
    </xf>
    <xf numFmtId="0" fontId="101" fillId="0" borderId="103" xfId="18" applyFont="1" applyBorder="1" applyAlignment="1">
      <alignment horizontal="center" vertical="center" wrapText="1"/>
    </xf>
    <xf numFmtId="0" fontId="101" fillId="0" borderId="49" xfId="18" applyFont="1" applyBorder="1" applyAlignment="1">
      <alignment horizontal="center" vertical="center" wrapText="1"/>
    </xf>
    <xf numFmtId="0" fontId="87" fillId="0" borderId="49" xfId="18" applyFont="1" applyBorder="1" applyAlignment="1">
      <alignment horizontal="center" vertical="center" wrapText="1"/>
    </xf>
    <xf numFmtId="0" fontId="87" fillId="0" borderId="104" xfId="18" applyFont="1" applyBorder="1" applyAlignment="1">
      <alignment horizontal="center" vertical="center" wrapText="1"/>
    </xf>
    <xf numFmtId="0" fontId="115" fillId="0" borderId="47" xfId="18" applyFont="1" applyBorder="1" applyAlignment="1">
      <alignment horizontal="center" vertical="center" wrapText="1"/>
    </xf>
    <xf numFmtId="0" fontId="115" fillId="0" borderId="101" xfId="18" applyFont="1" applyBorder="1" applyAlignment="1">
      <alignment horizontal="center" vertical="center" wrapText="1"/>
    </xf>
    <xf numFmtId="0" fontId="115" fillId="0" borderId="102" xfId="18" applyFont="1" applyBorder="1" applyAlignment="1">
      <alignment horizontal="center" vertical="center" wrapText="1"/>
    </xf>
    <xf numFmtId="0" fontId="114" fillId="0" borderId="122" xfId="18" applyFont="1" applyBorder="1" applyAlignment="1">
      <alignment horizontal="left" vertical="center" wrapText="1"/>
    </xf>
    <xf numFmtId="0" fontId="90" fillId="0" borderId="126" xfId="18" applyFont="1" applyBorder="1" applyAlignment="1">
      <alignment horizontal="left" vertical="center" wrapText="1"/>
    </xf>
    <xf numFmtId="0" fontId="90" fillId="0" borderId="46" xfId="18" applyFont="1" applyBorder="1" applyAlignment="1">
      <alignment horizontal="left" vertical="center" wrapText="1"/>
    </xf>
    <xf numFmtId="0" fontId="90" fillId="0" borderId="128" xfId="18" applyFont="1" applyBorder="1" applyAlignment="1">
      <alignment horizontal="left" vertical="center" wrapText="1"/>
    </xf>
    <xf numFmtId="0" fontId="90" fillId="0" borderId="121" xfId="18" applyFont="1" applyBorder="1" applyAlignment="1">
      <alignment horizontal="left" vertical="center" wrapText="1"/>
    </xf>
    <xf numFmtId="0" fontId="87" fillId="0" borderId="99" xfId="18" applyFont="1" applyBorder="1" applyAlignment="1">
      <alignment horizontal="left" vertical="center" wrapText="1"/>
    </xf>
    <xf numFmtId="0" fontId="117" fillId="0" borderId="46" xfId="18" applyFont="1" applyBorder="1" applyAlignment="1">
      <alignment horizontal="center" vertical="center" wrapText="1"/>
    </xf>
    <xf numFmtId="0" fontId="115" fillId="0" borderId="121" xfId="18" applyFont="1" applyBorder="1" applyAlignment="1">
      <alignment horizontal="center" vertical="center" wrapText="1"/>
    </xf>
    <xf numFmtId="0" fontId="117" fillId="0" borderId="121" xfId="18" applyFont="1" applyBorder="1" applyAlignment="1">
      <alignment horizontal="center" vertical="center" wrapText="1"/>
    </xf>
    <xf numFmtId="0" fontId="117" fillId="0" borderId="127" xfId="18" applyFont="1" applyBorder="1" applyAlignment="1">
      <alignment horizontal="center" vertical="center" wrapText="1"/>
    </xf>
    <xf numFmtId="0" fontId="115" fillId="0" borderId="129" xfId="18" applyFont="1" applyBorder="1" applyAlignment="1">
      <alignment horizontal="center" vertical="center" wrapText="1"/>
    </xf>
    <xf numFmtId="0" fontId="117" fillId="0" borderId="129" xfId="18" applyFont="1" applyBorder="1" applyAlignment="1">
      <alignment horizontal="center" vertical="center" wrapText="1"/>
    </xf>
    <xf numFmtId="0" fontId="90" fillId="0" borderId="130" xfId="18" applyFont="1" applyBorder="1" applyAlignment="1">
      <alignment horizontal="left" vertical="center" wrapText="1"/>
    </xf>
    <xf numFmtId="0" fontId="115" fillId="0" borderId="130" xfId="18" applyFont="1" applyBorder="1" applyAlignment="1">
      <alignment horizontal="center" vertical="center" wrapText="1"/>
    </xf>
    <xf numFmtId="0" fontId="115" fillId="0" borderId="131" xfId="18" applyFont="1" applyBorder="1" applyAlignment="1">
      <alignment horizontal="center" vertical="center" wrapText="1"/>
    </xf>
    <xf numFmtId="0" fontId="90" fillId="0" borderId="119" xfId="18" applyFont="1" applyBorder="1" applyAlignment="1">
      <alignment horizontal="left" vertical="center" wrapText="1"/>
    </xf>
    <xf numFmtId="0" fontId="90" fillId="0" borderId="9" xfId="18" applyFont="1" applyBorder="1" applyAlignment="1">
      <alignment horizontal="left" vertical="center" wrapText="1"/>
    </xf>
    <xf numFmtId="0" fontId="117" fillId="0" borderId="9" xfId="18" applyFont="1" applyBorder="1" applyAlignment="1">
      <alignment horizontal="center" vertical="center" wrapText="1"/>
    </xf>
    <xf numFmtId="0" fontId="117" fillId="0" borderId="125" xfId="18" applyFont="1" applyBorder="1" applyAlignment="1">
      <alignment horizontal="center" vertical="center" wrapText="1"/>
    </xf>
    <xf numFmtId="0" fontId="118" fillId="0" borderId="92" xfId="18" applyFont="1" applyBorder="1" applyAlignment="1">
      <alignment horizontal="center" vertical="center" wrapText="1"/>
    </xf>
    <xf numFmtId="0" fontId="118" fillId="0" borderId="93" xfId="18" applyFont="1" applyBorder="1" applyAlignment="1">
      <alignment horizontal="center" vertical="center" wrapText="1"/>
    </xf>
    <xf numFmtId="0" fontId="90" fillId="0" borderId="39" xfId="18" applyFont="1" applyBorder="1" applyAlignment="1">
      <alignment horizontal="center" vertical="center" wrapText="1"/>
    </xf>
    <xf numFmtId="38" fontId="119" fillId="0" borderId="103" xfId="18" applyNumberFormat="1" applyFont="1" applyBorder="1" applyAlignment="1">
      <alignment horizontal="center" vertical="center" wrapText="1"/>
    </xf>
    <xf numFmtId="0" fontId="119" fillId="0" borderId="49" xfId="18" applyFont="1" applyBorder="1" applyAlignment="1">
      <alignment horizontal="center" vertical="center" wrapText="1"/>
    </xf>
    <xf numFmtId="38" fontId="115" fillId="0" borderId="49" xfId="18" applyNumberFormat="1" applyFont="1" applyBorder="1" applyAlignment="1">
      <alignment horizontal="center" vertical="center" wrapText="1"/>
    </xf>
    <xf numFmtId="0" fontId="115" fillId="0" borderId="49" xfId="18" applyFont="1" applyBorder="1" applyAlignment="1">
      <alignment horizontal="center" vertical="center" wrapText="1"/>
    </xf>
    <xf numFmtId="0" fontId="118" fillId="0" borderId="94" xfId="18" applyFont="1" applyBorder="1" applyAlignment="1">
      <alignment horizontal="center" vertical="center" wrapText="1"/>
    </xf>
    <xf numFmtId="0" fontId="101" fillId="0" borderId="92" xfId="18" applyFont="1" applyBorder="1" applyAlignment="1">
      <alignment horizontal="center" vertical="center" wrapText="1"/>
    </xf>
    <xf numFmtId="0" fontId="101" fillId="0" borderId="93" xfId="18" applyFont="1" applyBorder="1" applyAlignment="1">
      <alignment horizontal="center" vertical="center" wrapText="1"/>
    </xf>
    <xf numFmtId="164" fontId="87" fillId="0" borderId="39" xfId="3" applyNumberFormat="1" applyFont="1" applyBorder="1" applyAlignment="1">
      <alignment horizontal="center" vertical="center" wrapText="1"/>
    </xf>
    <xf numFmtId="38" fontId="115" fillId="0" borderId="39" xfId="18" applyNumberFormat="1" applyFont="1" applyBorder="1" applyAlignment="1">
      <alignment horizontal="center" vertical="center" wrapText="1"/>
    </xf>
    <xf numFmtId="38" fontId="87" fillId="0" borderId="39" xfId="18" applyNumberFormat="1" applyFont="1" applyBorder="1" applyAlignment="1">
      <alignment horizontal="center" vertical="center" wrapText="1"/>
    </xf>
    <xf numFmtId="40" fontId="115" fillId="0" borderId="39" xfId="18" applyNumberFormat="1" applyFont="1" applyBorder="1" applyAlignment="1">
      <alignment horizontal="center" vertical="center" wrapText="1"/>
    </xf>
    <xf numFmtId="40" fontId="87" fillId="0" borderId="39" xfId="18" applyNumberFormat="1" applyFont="1" applyBorder="1" applyAlignment="1">
      <alignment horizontal="center" vertical="center" wrapText="1"/>
    </xf>
    <xf numFmtId="0" fontId="115" fillId="0" borderId="104" xfId="18" applyFont="1" applyBorder="1" applyAlignment="1">
      <alignment horizontal="center" vertical="center" wrapText="1"/>
    </xf>
    <xf numFmtId="38" fontId="87" fillId="0" borderId="103" xfId="18" applyNumberFormat="1" applyFont="1" applyBorder="1" applyAlignment="1">
      <alignment horizontal="left" vertical="center" wrapText="1"/>
    </xf>
    <xf numFmtId="38" fontId="87" fillId="0" borderId="49" xfId="18" applyNumberFormat="1" applyFont="1" applyBorder="1" applyAlignment="1">
      <alignment horizontal="left" vertical="center" wrapText="1"/>
    </xf>
    <xf numFmtId="0" fontId="87" fillId="0" borderId="104" xfId="18" applyFont="1" applyBorder="1" applyAlignment="1">
      <alignment horizontal="left" vertical="center" wrapText="1"/>
    </xf>
    <xf numFmtId="0" fontId="101" fillId="0" borderId="94" xfId="18" applyFont="1" applyBorder="1" applyAlignment="1">
      <alignment horizontal="center" vertical="center" wrapText="1"/>
    </xf>
    <xf numFmtId="0" fontId="114" fillId="0" borderId="39" xfId="18" applyFont="1" applyBorder="1" applyAlignment="1">
      <alignment horizontal="center" vertical="center" wrapText="1"/>
    </xf>
    <xf numFmtId="164" fontId="115" fillId="0" borderId="39" xfId="3" applyNumberFormat="1" applyFont="1" applyBorder="1" applyAlignment="1">
      <alignment horizontal="center" vertical="center" wrapText="1"/>
    </xf>
    <xf numFmtId="38" fontId="87" fillId="0" borderId="15" xfId="18" applyNumberFormat="1" applyFont="1" applyBorder="1" applyAlignment="1">
      <alignment horizontal="center" vertical="center" wrapText="1"/>
    </xf>
    <xf numFmtId="0" fontId="87" fillId="0" borderId="15" xfId="18" applyFont="1" applyBorder="1" applyAlignment="1">
      <alignment horizontal="center" vertical="center" wrapText="1"/>
    </xf>
    <xf numFmtId="0" fontId="87" fillId="0" borderId="99" xfId="18" applyFont="1" applyBorder="1" applyAlignment="1">
      <alignment horizontal="center" vertical="center" wrapText="1"/>
    </xf>
    <xf numFmtId="38" fontId="115" fillId="0" borderId="15" xfId="18" applyNumberFormat="1" applyFont="1" applyBorder="1" applyAlignment="1">
      <alignment horizontal="center" vertical="center" wrapText="1"/>
    </xf>
    <xf numFmtId="0" fontId="115" fillId="0" borderId="15" xfId="18" applyFont="1" applyBorder="1" applyAlignment="1">
      <alignment horizontal="center" vertical="center" wrapText="1"/>
    </xf>
    <xf numFmtId="0" fontId="115" fillId="0" borderId="99" xfId="18" applyFont="1" applyBorder="1" applyAlignment="1">
      <alignment horizontal="center" vertical="center" wrapText="1"/>
    </xf>
    <xf numFmtId="38" fontId="115" fillId="0" borderId="93" xfId="18" applyNumberFormat="1" applyFont="1" applyBorder="1" applyAlignment="1">
      <alignment horizontal="center" vertical="center" wrapText="1"/>
    </xf>
    <xf numFmtId="0" fontId="115" fillId="0" borderId="93" xfId="18" applyFont="1" applyBorder="1" applyAlignment="1">
      <alignment horizontal="center" vertical="center" wrapText="1"/>
    </xf>
    <xf numFmtId="0" fontId="115" fillId="0" borderId="94" xfId="18" applyFont="1" applyBorder="1" applyAlignment="1">
      <alignment horizontal="center" vertical="center" wrapText="1"/>
    </xf>
    <xf numFmtId="0" fontId="97" fillId="0" borderId="39" xfId="18" applyFont="1" applyBorder="1" applyAlignment="1">
      <alignment horizontal="center" vertical="center" wrapText="1"/>
    </xf>
    <xf numFmtId="38" fontId="87" fillId="0" borderId="93" xfId="18" applyNumberFormat="1" applyFont="1" applyBorder="1" applyAlignment="1">
      <alignment horizontal="center" vertical="center" wrapText="1"/>
    </xf>
    <xf numFmtId="0" fontId="87" fillId="0" borderId="93" xfId="18" applyFont="1" applyBorder="1" applyAlignment="1">
      <alignment horizontal="center" vertical="center" wrapText="1"/>
    </xf>
    <xf numFmtId="0" fontId="87" fillId="0" borderId="94" xfId="18" applyFont="1" applyBorder="1" applyAlignment="1">
      <alignment horizontal="center" vertical="center" wrapText="1"/>
    </xf>
    <xf numFmtId="38" fontId="90" fillId="0" borderId="98" xfId="18" applyNumberFormat="1" applyFont="1" applyBorder="1" applyAlignment="1">
      <alignment horizontal="left" vertical="center" wrapText="1"/>
    </xf>
    <xf numFmtId="38" fontId="87" fillId="0" borderId="98" xfId="18" applyNumberFormat="1" applyFont="1" applyBorder="1" applyAlignment="1">
      <alignment horizontal="left" vertical="center" wrapText="1"/>
    </xf>
    <xf numFmtId="0" fontId="87" fillId="0" borderId="92" xfId="18" applyFont="1" applyBorder="1" applyAlignment="1">
      <alignment horizontal="center" vertical="center" wrapText="1"/>
    </xf>
    <xf numFmtId="0" fontId="87" fillId="0" borderId="90" xfId="18" applyFont="1" applyBorder="1" applyAlignment="1">
      <alignment horizontal="center" vertical="center" wrapText="1"/>
    </xf>
    <xf numFmtId="0" fontId="118" fillId="0" borderId="49" xfId="18" applyFont="1" applyBorder="1" applyAlignment="1">
      <alignment horizontal="left" vertical="center" wrapText="1"/>
    </xf>
    <xf numFmtId="0" fontId="118" fillId="0" borderId="104" xfId="18" applyFont="1" applyBorder="1" applyAlignment="1">
      <alignment horizontal="left" vertical="center" wrapText="1"/>
    </xf>
    <xf numFmtId="38" fontId="118" fillId="0" borderId="47" xfId="1" applyNumberFormat="1" applyFont="1" applyBorder="1" applyAlignment="1">
      <alignment horizontal="center" vertical="center" wrapText="1"/>
    </xf>
    <xf numFmtId="38" fontId="118" fillId="0" borderId="101" xfId="1" applyNumberFormat="1" applyFont="1" applyBorder="1" applyAlignment="1">
      <alignment horizontal="center" vertical="center" wrapText="1"/>
    </xf>
    <xf numFmtId="38" fontId="118" fillId="0" borderId="102" xfId="1" applyNumberFormat="1" applyFont="1" applyBorder="1" applyAlignment="1">
      <alignment horizontal="center" vertical="center" wrapText="1"/>
    </xf>
    <xf numFmtId="0" fontId="101" fillId="0" borderId="49" xfId="18" applyFont="1" applyBorder="1" applyAlignment="1">
      <alignment horizontal="left" vertical="center" wrapText="1"/>
    </xf>
    <xf numFmtId="0" fontId="101" fillId="0" borderId="104" xfId="18" applyFont="1" applyBorder="1" applyAlignment="1">
      <alignment horizontal="left" vertical="center" wrapText="1"/>
    </xf>
    <xf numFmtId="38" fontId="108" fillId="0" borderId="49" xfId="1" applyNumberFormat="1" applyFont="1" applyBorder="1" applyAlignment="1">
      <alignment horizontal="left" vertical="center" wrapText="1"/>
    </xf>
    <xf numFmtId="38" fontId="108" fillId="0" borderId="104" xfId="1" applyNumberFormat="1" applyFont="1" applyBorder="1" applyAlignment="1">
      <alignment horizontal="left" vertical="center" wrapText="1"/>
    </xf>
    <xf numFmtId="0" fontId="90" fillId="0" borderId="92" xfId="18" applyFont="1" applyBorder="1" applyAlignment="1">
      <alignment horizontal="center" vertical="center" wrapText="1"/>
    </xf>
    <xf numFmtId="0" fontId="90" fillId="0" borderId="93" xfId="18" applyFont="1" applyBorder="1" applyAlignment="1">
      <alignment horizontal="center" vertical="center" wrapText="1"/>
    </xf>
    <xf numFmtId="0" fontId="90" fillId="0" borderId="94" xfId="18" applyFont="1" applyBorder="1" applyAlignment="1">
      <alignment horizontal="center" vertical="center" wrapText="1"/>
    </xf>
    <xf numFmtId="0" fontId="32" fillId="0" borderId="15"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44" xfId="0" applyFont="1" applyBorder="1" applyAlignment="1">
      <alignment horizontal="left" vertical="center" wrapText="1"/>
    </xf>
    <xf numFmtId="0" fontId="33" fillId="0" borderId="40" xfId="0" applyFont="1" applyBorder="1" applyAlignment="1">
      <alignment horizontal="left" vertical="center" wrapText="1"/>
    </xf>
    <xf numFmtId="0" fontId="33" fillId="0" borderId="45" xfId="0" applyFont="1" applyBorder="1" applyAlignment="1">
      <alignment horizontal="left" vertical="center"/>
    </xf>
    <xf numFmtId="0" fontId="33" fillId="0" borderId="33" xfId="0" applyFont="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33" fillId="0" borderId="21"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0" xfId="0" applyFont="1" applyAlignment="1">
      <alignment horizontal="center"/>
    </xf>
    <xf numFmtId="0" fontId="32" fillId="0" borderId="35" xfId="0" applyFont="1" applyBorder="1" applyAlignment="1">
      <alignment horizontal="center" vertical="center" wrapText="1"/>
    </xf>
    <xf numFmtId="168" fontId="39" fillId="0" borderId="52" xfId="8" applyNumberFormat="1" applyFont="1" applyBorder="1" applyAlignment="1">
      <alignment horizontal="center" vertical="center"/>
    </xf>
    <xf numFmtId="168" fontId="39" fillId="0" borderId="53" xfId="8" applyNumberFormat="1" applyFont="1" applyBorder="1" applyAlignment="1">
      <alignment horizontal="center" vertical="center"/>
    </xf>
    <xf numFmtId="168" fontId="39" fillId="0" borderId="54" xfId="8" applyNumberFormat="1" applyFont="1" applyBorder="1" applyAlignment="1">
      <alignment horizontal="center" vertical="center"/>
    </xf>
    <xf numFmtId="40" fontId="32" fillId="0" borderId="15" xfId="1" applyFont="1" applyBorder="1" applyAlignment="1">
      <alignment horizontal="center" vertical="center"/>
    </xf>
    <xf numFmtId="0" fontId="33" fillId="0" borderId="15" xfId="0" applyFont="1" applyBorder="1" applyAlignment="1">
      <alignment horizontal="center" vertical="center" wrapText="1"/>
    </xf>
  </cellXfs>
  <cellStyles count="24">
    <cellStyle name="Comma_Balance" xfId="5" xr:uid="{07708F11-B4F4-4829-82B6-312446BBA928}"/>
    <cellStyle name="Comma_CashFlow" xfId="4" xr:uid="{C5B29DEF-FCF8-4B1B-922D-E28BF164B664}"/>
    <cellStyle name="Comma_IRR" xfId="8" xr:uid="{B9752835-388A-42F9-B0FC-B3164204F872}"/>
    <cellStyle name="Normal_Приложениекзан.№4" xfId="10" xr:uid="{F05008E3-66D2-49FD-9AF6-7D967EEE46C4}"/>
    <cellStyle name="Гиперссылка" xfId="6" builtinId="8"/>
    <cellStyle name="Гиперссылка 2" xfId="23" xr:uid="{545E2240-077B-4BE9-9371-960FB5E5E4BE}"/>
    <cellStyle name="Обычный" xfId="0" builtinId="0"/>
    <cellStyle name="Обычный 2" xfId="20" xr:uid="{10CE21D2-EDCB-48D2-B491-83BDB966BD2F}"/>
    <cellStyle name="Обычный 2 2 2" xfId="14" xr:uid="{AFAB5DFA-580F-481C-B327-15C98E328D2E}"/>
    <cellStyle name="Обычный 3" xfId="18" xr:uid="{B169A55C-F285-4A26-823C-D198917004C2}"/>
    <cellStyle name="Обычный 4 2" xfId="19" xr:uid="{AB564FC2-1D57-4503-A4D1-D3876583B66D}"/>
    <cellStyle name="Обычный 4 2 3" xfId="15" xr:uid="{08593B95-BBB5-45AF-B394-DD77632AB458}"/>
    <cellStyle name="Обычный 5 2" xfId="7" xr:uid="{CE83AE22-1434-4226-8F4E-688B6417C704}"/>
    <cellStyle name="Обычный_New 1" xfId="12" xr:uid="{5A2B5807-F252-4380-8EE0-2DF15153273A}"/>
    <cellStyle name="Обычный_New 2" xfId="11" xr:uid="{FFAA138C-C4EB-41AB-B53E-AE2EDF91C442}"/>
    <cellStyle name="Обычный_reiting_Jizak_Telecom" xfId="9" xr:uid="{A29CD335-BA58-4802-8D5A-3FF1E37F2FB0}"/>
    <cellStyle name="Обычный_Sheet1" xfId="13" xr:uid="{34C7F56C-934C-4791-A741-8CDE2A1C04F2}"/>
    <cellStyle name="Процентный" xfId="3" builtinId="5"/>
    <cellStyle name="Процентный 2" xfId="17" xr:uid="{65BE4005-CD6C-43F8-903F-98315CC967B6}"/>
    <cellStyle name="Процентный 3" xfId="22" xr:uid="{41F7C538-480C-4700-9E77-D852FB4E5F8D}"/>
    <cellStyle name="Финансовый" xfId="1" builtinId="3"/>
    <cellStyle name="Финансовый [0]" xfId="2" builtinId="6"/>
    <cellStyle name="Финансовый 2" xfId="16" xr:uid="{8FC83A49-90DF-49B4-A2ED-E3D9DF30FF9F}"/>
    <cellStyle name="Финансовый 3" xfId="21" xr:uid="{0E5A6328-ED50-40D9-B385-2353FE64D4D4}"/>
  </cellStyles>
  <dxfs count="0"/>
  <tableStyles count="0" defaultTableStyle="TableStyleMedium2" defaultPivotStyle="PivotStyleLight16"/>
  <colors>
    <mruColors>
      <color rgb="FFFAFFEF"/>
      <color rgb="FFFF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styles" Target="style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CRP\&#1041;&#1080;&#1079;&#1085;&#1077;&#1089;%20&#1087;&#1083;&#1072;&#1085;&#1099;\&#1054;&#1082;&#1090;&#1103;&#1073;&#1088;&#1100;%202020\&#1061;&#1083;&#1086;&#1087;&#1082;&#1086;&#1074;&#1099;&#1081;%20&#1082;&#1083;&#1072;&#1089;&#1090;&#1077;&#1088;\&#1041;&#1055;%20-%20&#1061;&#1083;&#1086;&#1087;&#1082;&#1086;&#1074;&#1099;&#1081;%20&#1082;&#1083;&#1072;&#1089;&#1090;&#1077;&#10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nstall/Dr/OOO%20Sladosti%20ot%20Yunusa-&#1087;&#1088;&#1086;&#1080;&#1079;%20&#1082;&#1086;&#1085;&#1076;%20&#1080;&#1079;&#1076;-&#1087;&#1088;&#1080;&#1086;&#1073;%20&#1086;&#1073;&#1086;&#1088;&#1091;&#1076;%20&#1080;%20&#1089;&#1099;&#1088;&#1100;&#1103;/3-&#1074;&#1072;&#1088;&#1080;&#1072;&#1085;&#1090;/&#1040;&#1088;&#1093;&#1080;&#1074;/&#1054;&#1089;&#1085;&#1086;&#1074;&#1072;/&#1050;&#1086;&#1087;&#1080;&#1103;%20ItalSpu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FFF11FA\BULL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WORK\CRP\&#1041;&#1080;&#1079;&#1085;&#1077;&#1089;%20&#1087;&#1083;&#1072;&#1085;&#1099;\&#1050;&#1086;&#1085;&#1076;&#1080;&#1090;&#1077;&#1088;&#1089;&#1082;&#1072;&#1103;\&#1056;&#1072;&#1089;&#1095;&#1077;&#1090;&#1089;&#1090;&#1072;&#1088;&#1099;&#108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atov/Desktop/&#1048;&#1070;&#1053;&#1068;/&#1048;&#1075;&#1083;&#1099;%20&#1090;&#1077;&#1088;&#1084;&#1077;&#1079;%20&#1089;&#1101;&#1079;/FM_PRO_v1.8.b1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 val="жиззах янги раз"/>
      <sheetName val="BAL"/>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 val="для сравнения ст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B1">
            <v>0</v>
          </cell>
        </row>
      </sheetData>
      <sheetData sheetId="64">
        <row r="1">
          <cell r="B1">
            <v>0</v>
          </cell>
        </row>
      </sheetData>
      <sheetData sheetId="65">
        <row r="1">
          <cell r="B1">
            <v>0</v>
          </cell>
        </row>
      </sheetData>
      <sheetData sheetId="66">
        <row r="1">
          <cell r="B1">
            <v>0</v>
          </cell>
        </row>
      </sheetData>
      <sheetData sheetId="67">
        <row r="1">
          <cell r="B1">
            <v>0</v>
          </cell>
        </row>
      </sheetData>
      <sheetData sheetId="68">
        <row r="1">
          <cell r="B1">
            <v>0</v>
          </cell>
        </row>
      </sheetData>
      <sheetData sheetId="69">
        <row r="1">
          <cell r="B1">
            <v>0</v>
          </cell>
        </row>
      </sheetData>
      <sheetData sheetId="70">
        <row r="1">
          <cell r="B1">
            <v>0</v>
          </cell>
        </row>
      </sheetData>
      <sheetData sheetId="71">
        <row r="1">
          <cell r="B1">
            <v>0</v>
          </cell>
        </row>
      </sheetData>
      <sheetData sheetId="72">
        <row r="1">
          <cell r="B1">
            <v>0</v>
          </cell>
        </row>
      </sheetData>
      <sheetData sheetId="73">
        <row r="1">
          <cell r="B1">
            <v>0</v>
          </cell>
        </row>
      </sheetData>
      <sheetData sheetId="74">
        <row r="1">
          <cell r="B1">
            <v>0</v>
          </cell>
        </row>
      </sheetData>
      <sheetData sheetId="75">
        <row r="1">
          <cell r="B1">
            <v>0</v>
          </cell>
        </row>
      </sheetData>
      <sheetData sheetId="76">
        <row r="1">
          <cell r="B1">
            <v>0</v>
          </cell>
        </row>
      </sheetData>
      <sheetData sheetId="77" refreshError="1"/>
      <sheetData sheetId="78" refreshError="1"/>
      <sheetData sheetId="7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 val="фев"/>
      <sheetName val="табли 4 местний совет"/>
      <sheetName val="Платёжка"/>
      <sheetName val="BAL"/>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 val="BAL"/>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sheetData sheetId="90"/>
      <sheetData sheetId="91"/>
      <sheetData sheetId="92"/>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 val="Store"/>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 val="results"/>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 val="оборот"/>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 val="Зан-ть(р-ны)"/>
      <sheetName val="режа"/>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ow r="4">
          <cell r="O4">
            <v>67.099999999999994</v>
          </cell>
        </row>
      </sheetData>
      <sheetData sheetId="13">
        <row r="4">
          <cell r="O4">
            <v>67.099999999999994</v>
          </cell>
        </row>
      </sheetData>
      <sheetData sheetId="14" refreshError="1"/>
      <sheetData sheetId="15">
        <row r="4">
          <cell r="O4">
            <v>67.099999999999994</v>
          </cell>
        </row>
      </sheetData>
      <sheetData sheetId="16">
        <row r="4">
          <cell r="O4">
            <v>67.099999999999994</v>
          </cell>
        </row>
      </sheetData>
      <sheetData sheetId="17">
        <row r="4">
          <cell r="O4">
            <v>67.099999999999994</v>
          </cell>
        </row>
      </sheetData>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
      <sheetName val="Project Cost (2)"/>
      <sheetName val="NPV-IRR-PI-DPP (2)"/>
      <sheetName val="Чуств."/>
      <sheetName val="БП-Eng"/>
      <sheetName val="Технология"/>
      <sheetName val="Лист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вопросы"/>
      <sheetName val="База данных2"/>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БП - Хлопковый кластер"/>
    </sheetNames>
    <definedNames>
      <definedName name="_a1Z"/>
      <definedName name="_a2Z"/>
      <definedName name="BlankMacro1"/>
      <definedName name="дел"/>
      <definedName name="прилож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 val="Лист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 val="реж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 val="реж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 val="2 доход-вариант с формулой"/>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вестиционный период"/>
      <sheetName val="Финансовый план"/>
      <sheetName val="Амортизация"/>
      <sheetName val="План производства"/>
      <sheetName val="Программа продаж"/>
      <sheetName val="Стоимость материалов"/>
      <sheetName val="Заработная плата"/>
      <sheetName val="Налоги"/>
      <sheetName val="Средства инженерного обеспечени"/>
      <sheetName val="Оценка издержек производства"/>
      <sheetName val="График погашения"/>
      <sheetName val="Схема погашения кредита"/>
      <sheetName val="Годовые издер-ки на продан.прод"/>
      <sheetName val="Потребность в оборотном капитал"/>
      <sheetName val="Отчет о чистом доходе от операц"/>
      <sheetName val="Месячный поток"/>
      <sheetName val="Поток реальных денег"/>
      <sheetName val="Проек. балансовый отчет"/>
      <sheetName val="Дисконтированный поток денег"/>
      <sheetName val="Точка безубыточности"/>
      <sheetName val="Анализ чувствительности"/>
      <sheetName val="Лист1"/>
      <sheetName val="Расчет залога"/>
      <sheetName val="Расчет залога2"/>
      <sheetName val="Анализ"/>
      <sheetName val="Мусо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 val="экс хар"/>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 val="ВВОД"/>
      <sheetName val="NA6502"/>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row r="1">
          <cell r="A1" t="str">
            <v>ключ</v>
          </cell>
        </row>
      </sheetData>
      <sheetData sheetId="69">
        <row r="1">
          <cell r="A1" t="str">
            <v>ключ</v>
          </cell>
        </row>
      </sheetData>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row r="1">
          <cell r="A1" t="str">
            <v>ключ</v>
          </cell>
        </row>
      </sheetData>
      <sheetData sheetId="111">
        <row r="1">
          <cell r="A1" t="str">
            <v>ключ</v>
          </cell>
        </row>
      </sheetData>
      <sheetData sheetId="112">
        <row r="1">
          <cell r="A1" t="str">
            <v>ключ</v>
          </cell>
        </row>
      </sheetData>
      <sheetData sheetId="113">
        <row r="1">
          <cell r="A1" t="str">
            <v>ключ</v>
          </cell>
        </row>
      </sheetData>
      <sheetData sheetId="114">
        <row r="1">
          <cell r="A1" t="str">
            <v>ключ</v>
          </cell>
        </row>
      </sheetData>
      <sheetData sheetId="115">
        <row r="1">
          <cell r="A1" t="str">
            <v>ключ</v>
          </cell>
        </row>
      </sheetData>
      <sheetData sheetId="116">
        <row r="1">
          <cell r="A1" t="str">
            <v>ключ</v>
          </cell>
        </row>
      </sheetData>
      <sheetData sheetId="117">
        <row r="1">
          <cell r="A1" t="str">
            <v>ключ</v>
          </cell>
        </row>
      </sheetData>
      <sheetData sheetId="118">
        <row r="1">
          <cell r="A1" t="str">
            <v>ключ</v>
          </cell>
        </row>
      </sheetData>
      <sheetData sheetId="119">
        <row r="1">
          <cell r="A1" t="str">
            <v>ключ</v>
          </cell>
        </row>
      </sheetData>
      <sheetData sheetId="120">
        <row r="1">
          <cell r="A1" t="str">
            <v>ключ</v>
          </cell>
        </row>
      </sheetData>
      <sheetData sheetId="121">
        <row r="1">
          <cell r="A1" t="str">
            <v>ключ</v>
          </cell>
        </row>
      </sheetData>
      <sheetData sheetId="122">
        <row r="1">
          <cell r="A1" t="str">
            <v>ключ</v>
          </cell>
        </row>
      </sheetData>
      <sheetData sheetId="123">
        <row r="1">
          <cell r="A1" t="str">
            <v>ключ</v>
          </cell>
        </row>
      </sheetData>
      <sheetData sheetId="124">
        <row r="1">
          <cell r="A1" t="str">
            <v>ключ</v>
          </cell>
        </row>
      </sheetData>
      <sheetData sheetId="125" refreshError="1"/>
      <sheetData sheetId="1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 val="параметр (формуд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 val="режа"/>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 val="Олт"/>
      <sheetName val="Input3"/>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 val="Пункт"/>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 val="Зан-ть(р-ны)"/>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 val="Список"/>
      <sheetName val="s"/>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 val="Лист1"/>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efreshError="1"/>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ow r="4">
          <cell r="O4">
            <v>67.099999999999994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лавная"/>
      <sheetName val="начало"/>
      <sheetName val="продажи"/>
      <sheetName val="stat"/>
      <sheetName val="temp3add"/>
      <sheetName val="temp3"/>
      <sheetName val="tempCol"/>
      <sheetName val="temp"/>
      <sheetName val="расчет колво"/>
      <sheetName val="tempPer"/>
      <sheetName val="затраты"/>
      <sheetName val="постоянные"/>
      <sheetName val="Активы"/>
      <sheetName val="создание ОС"/>
      <sheetName val="вложения в ОС"/>
      <sheetName val="персонал"/>
      <sheetName val="финансирование"/>
      <sheetName val="налоги справочник"/>
      <sheetName val="прогнозы"/>
      <sheetName val="упр себест"/>
      <sheetName val="затраты себест"/>
      <sheetName val="расчёт себестоимости"/>
      <sheetName val="расчет продаж"/>
      <sheetName val="расчет постоянные"/>
      <sheetName val="производственные"/>
      <sheetName val="расчет активов"/>
      <sheetName val="расчет вложений"/>
      <sheetName val="ПП1"/>
      <sheetName val="ПП2"/>
      <sheetName val="амортизация ОС"/>
      <sheetName val="амортизация"/>
      <sheetName val="sl1"/>
      <sheetName val="расчет персонал"/>
      <sheetName val="ШР"/>
      <sheetName val="получены кредиты"/>
      <sheetName val="проценты"/>
      <sheetName val="тело.кредит"/>
      <sheetName val="расчёт итоги"/>
      <sheetName val="расчёт налоги"/>
      <sheetName val="Итоги"/>
      <sheetName val="продукты"/>
      <sheetName val="материалы"/>
      <sheetName val="АХР"/>
      <sheetName val="графики"/>
      <sheetName val="Точка безубыточности"/>
      <sheetName val="инвест показатели"/>
      <sheetName val="прибыли и убытки"/>
      <sheetName val="ДДС"/>
      <sheetName val="Баланс"/>
      <sheetName val="для усн 15"/>
      <sheetName val="справочник"/>
      <sheetName val="курсы"/>
      <sheetName val="помощь"/>
    </sheetNames>
    <sheetDataSet>
      <sheetData sheetId="0"/>
      <sheetData sheetId="1">
        <row r="9">
          <cell r="E9">
            <v>2021</v>
          </cell>
          <cell r="I9">
            <v>2030</v>
          </cell>
        </row>
        <row r="13">
          <cell r="E13" t="str">
            <v>USD</v>
          </cell>
        </row>
        <row r="46">
          <cell r="E46">
            <v>1</v>
          </cell>
        </row>
        <row r="61">
          <cell r="E61">
            <v>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8">
          <cell r="E48">
            <v>0.15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7">
          <cell r="H17">
            <v>0</v>
          </cell>
        </row>
        <row r="70">
          <cell r="H70">
            <v>770000</v>
          </cell>
        </row>
        <row r="73">
          <cell r="H73">
            <v>6416.666666666667</v>
          </cell>
        </row>
        <row r="83">
          <cell r="H83">
            <v>996</v>
          </cell>
        </row>
      </sheetData>
      <sheetData sheetId="38"/>
      <sheetData sheetId="39"/>
      <sheetData sheetId="40"/>
      <sheetData sheetId="41"/>
      <sheetData sheetId="42"/>
      <sheetData sheetId="43"/>
      <sheetData sheetId="44"/>
      <sheetData sheetId="45"/>
      <sheetData sheetId="46">
        <row r="18">
          <cell r="H18">
            <v>-8300</v>
          </cell>
        </row>
        <row r="21">
          <cell r="H21">
            <v>6416.666666666667</v>
          </cell>
        </row>
        <row r="23">
          <cell r="H23">
            <v>0</v>
          </cell>
        </row>
        <row r="34">
          <cell r="H34">
            <v>0</v>
          </cell>
        </row>
        <row r="35">
          <cell r="H35">
            <v>-15712.666666666668</v>
          </cell>
        </row>
      </sheetData>
      <sheetData sheetId="47">
        <row r="14">
          <cell r="H14">
            <v>0</v>
          </cell>
        </row>
        <row r="19">
          <cell r="H19">
            <v>3500</v>
          </cell>
        </row>
        <row r="20">
          <cell r="H20">
            <v>0</v>
          </cell>
        </row>
        <row r="21">
          <cell r="H21">
            <v>4800</v>
          </cell>
        </row>
        <row r="22">
          <cell r="H22">
            <v>6416.666666666667</v>
          </cell>
        </row>
        <row r="34">
          <cell r="H34">
            <v>3025167.3913043477</v>
          </cell>
        </row>
      </sheetData>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 val="Лист3"/>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 val="Лист1"/>
      <sheetName val="1 илова миллий"/>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2F179-F18D-48AA-B251-7B73E652BABA}">
  <sheetPr>
    <pageSetUpPr fitToPage="1"/>
  </sheetPr>
  <dimension ref="B3:I80"/>
  <sheetViews>
    <sheetView view="pageBreakPreview" zoomScale="160" zoomScaleNormal="100" zoomScaleSheetLayoutView="160" workbookViewId="0">
      <selection activeCell="B9" sqref="B9:I9"/>
    </sheetView>
  </sheetViews>
  <sheetFormatPr defaultRowHeight="15" outlineLevelRow="2"/>
  <cols>
    <col min="1" max="1" width="9.140625" style="19"/>
    <col min="2" max="2" width="65.85546875" style="19" customWidth="1"/>
    <col min="3" max="3" width="13.28515625" style="19" bestFit="1" customWidth="1"/>
    <col min="4" max="4" width="10.7109375" style="19" bestFit="1" customWidth="1"/>
    <col min="5" max="5" width="14.140625" style="19" bestFit="1" customWidth="1"/>
    <col min="6" max="6" width="8.7109375" style="19" bestFit="1" customWidth="1"/>
    <col min="7" max="8" width="7.28515625" style="19" bestFit="1" customWidth="1"/>
    <col min="9" max="9" width="6.85546875" style="19" bestFit="1" customWidth="1"/>
    <col min="10" max="16384" width="9.140625" style="19"/>
  </cols>
  <sheetData>
    <row r="3" spans="2:9" ht="23.25">
      <c r="B3" s="448" t="s">
        <v>28</v>
      </c>
      <c r="C3" s="448"/>
      <c r="D3" s="448"/>
      <c r="E3" s="448"/>
      <c r="F3" s="448"/>
      <c r="G3" s="448"/>
      <c r="H3" s="448"/>
      <c r="I3" s="448"/>
    </row>
    <row r="4" spans="2:9" ht="30.75" customHeight="1">
      <c r="B4" s="449" t="e">
        <f>#REF!</f>
        <v>#REF!</v>
      </c>
      <c r="C4" s="449"/>
      <c r="D4" s="449"/>
      <c r="E4" s="449"/>
      <c r="F4" s="449"/>
      <c r="G4" s="449"/>
      <c r="H4" s="449"/>
      <c r="I4" s="449"/>
    </row>
    <row r="5" spans="2:9" ht="15.75" outlineLevel="1">
      <c r="B5" s="450" t="s">
        <v>29</v>
      </c>
      <c r="C5" s="451"/>
      <c r="D5" s="451"/>
      <c r="E5" s="451"/>
      <c r="F5" s="451"/>
      <c r="G5" s="451"/>
      <c r="H5" s="451"/>
      <c r="I5" s="452"/>
    </row>
    <row r="6" spans="2:9" ht="43.5" customHeight="1" outlineLevel="1">
      <c r="B6" s="20" t="s">
        <v>30</v>
      </c>
      <c r="C6" s="445" t="e">
        <f>#REF!</f>
        <v>#REF!</v>
      </c>
      <c r="D6" s="446"/>
      <c r="E6" s="446"/>
      <c r="F6" s="446"/>
      <c r="G6" s="446"/>
      <c r="H6" s="446"/>
      <c r="I6" s="447"/>
    </row>
    <row r="7" spans="2:9" ht="15.75">
      <c r="B7" s="20" t="s">
        <v>31</v>
      </c>
      <c r="C7" s="445"/>
      <c r="D7" s="446"/>
      <c r="E7" s="446"/>
      <c r="F7" s="446"/>
      <c r="G7" s="446"/>
      <c r="H7" s="446"/>
      <c r="I7" s="447"/>
    </row>
    <row r="8" spans="2:9" ht="15.75">
      <c r="B8" s="20" t="s">
        <v>32</v>
      </c>
      <c r="C8" s="445"/>
      <c r="D8" s="446"/>
      <c r="E8" s="446"/>
      <c r="F8" s="446"/>
      <c r="G8" s="446"/>
      <c r="H8" s="446"/>
      <c r="I8" s="447"/>
    </row>
    <row r="9" spans="2:9" ht="15.75">
      <c r="B9" s="450" t="s">
        <v>33</v>
      </c>
      <c r="C9" s="451"/>
      <c r="D9" s="451"/>
      <c r="E9" s="451"/>
      <c r="F9" s="451"/>
      <c r="G9" s="451"/>
      <c r="H9" s="451"/>
      <c r="I9" s="452"/>
    </row>
    <row r="10" spans="2:9" ht="29.25" customHeight="1">
      <c r="B10" s="20" t="s">
        <v>34</v>
      </c>
      <c r="C10" s="453" t="s">
        <v>459</v>
      </c>
      <c r="D10" s="454"/>
      <c r="E10" s="454">
        <v>0</v>
      </c>
      <c r="F10" s="454"/>
      <c r="G10" s="454"/>
      <c r="H10" s="454"/>
      <c r="I10" s="455"/>
    </row>
    <row r="11" spans="2:9" ht="15.75">
      <c r="B11" s="20" t="s">
        <v>460</v>
      </c>
      <c r="C11" s="453">
        <v>0</v>
      </c>
      <c r="D11" s="454"/>
      <c r="E11" s="454">
        <v>0</v>
      </c>
      <c r="F11" s="454"/>
      <c r="G11" s="454"/>
      <c r="H11" s="454"/>
      <c r="I11" s="455"/>
    </row>
    <row r="12" spans="2:9" ht="15.75">
      <c r="B12" s="21" t="s">
        <v>35</v>
      </c>
      <c r="C12" s="459" t="e">
        <v>#DIV/0!</v>
      </c>
      <c r="D12" s="460"/>
      <c r="E12" s="460"/>
      <c r="F12" s="460"/>
      <c r="G12" s="460"/>
      <c r="H12" s="460"/>
      <c r="I12" s="461"/>
    </row>
    <row r="13" spans="2:9" ht="15.75" outlineLevel="1">
      <c r="B13" s="22" t="s">
        <v>36</v>
      </c>
      <c r="C13" s="459">
        <v>0</v>
      </c>
      <c r="D13" s="460"/>
      <c r="E13" s="460"/>
      <c r="F13" s="460"/>
      <c r="G13" s="460"/>
      <c r="H13" s="460"/>
      <c r="I13" s="461"/>
    </row>
    <row r="14" spans="2:9" ht="15.75" outlineLevel="1">
      <c r="B14" s="22" t="s">
        <v>37</v>
      </c>
      <c r="C14" s="459" t="e">
        <v>#DIV/0!</v>
      </c>
      <c r="D14" s="460"/>
      <c r="E14" s="460"/>
      <c r="F14" s="460"/>
      <c r="G14" s="460"/>
      <c r="H14" s="460"/>
      <c r="I14" s="461"/>
    </row>
    <row r="15" spans="2:9" ht="15.75" outlineLevel="1">
      <c r="B15" s="21" t="s">
        <v>38</v>
      </c>
      <c r="C15" s="450"/>
      <c r="D15" s="451"/>
      <c r="E15" s="451"/>
      <c r="F15" s="451"/>
      <c r="G15" s="451"/>
      <c r="H15" s="451"/>
      <c r="I15" s="452"/>
    </row>
    <row r="16" spans="2:9" ht="15.75" outlineLevel="1">
      <c r="B16" s="23" t="s">
        <v>39</v>
      </c>
      <c r="C16" s="462">
        <v>0.7</v>
      </c>
      <c r="D16" s="446"/>
      <c r="E16" s="446"/>
      <c r="F16" s="446"/>
      <c r="G16" s="446"/>
      <c r="H16" s="446"/>
      <c r="I16" s="447"/>
    </row>
    <row r="17" spans="2:9" ht="15.75" outlineLevel="1">
      <c r="B17" s="23" t="s">
        <v>40</v>
      </c>
      <c r="C17" s="462">
        <v>0.3</v>
      </c>
      <c r="D17" s="446"/>
      <c r="E17" s="446"/>
      <c r="F17" s="446"/>
      <c r="G17" s="446"/>
      <c r="H17" s="446"/>
      <c r="I17" s="447"/>
    </row>
    <row r="18" spans="2:9" ht="15.75">
      <c r="B18" s="20" t="s">
        <v>41</v>
      </c>
      <c r="C18" s="456">
        <v>0</v>
      </c>
      <c r="D18" s="457"/>
      <c r="E18" s="457"/>
      <c r="F18" s="457"/>
      <c r="G18" s="457"/>
      <c r="H18" s="457"/>
      <c r="I18" s="458"/>
    </row>
    <row r="19" spans="2:9" ht="15.75" outlineLevel="1">
      <c r="B19" s="23" t="s">
        <v>42</v>
      </c>
      <c r="C19" s="456">
        <v>0</v>
      </c>
      <c r="D19" s="457"/>
      <c r="E19" s="457"/>
      <c r="F19" s="457"/>
      <c r="G19" s="457"/>
      <c r="H19" s="457"/>
      <c r="I19" s="458"/>
    </row>
    <row r="20" spans="2:9" ht="15.75">
      <c r="B20" s="24" t="s">
        <v>43</v>
      </c>
      <c r="C20" s="463" t="e">
        <f>C18/C12</f>
        <v>#DIV/0!</v>
      </c>
      <c r="D20" s="463"/>
      <c r="E20" s="463"/>
      <c r="F20" s="463"/>
      <c r="G20" s="463"/>
      <c r="H20" s="463"/>
      <c r="I20" s="464"/>
    </row>
    <row r="21" spans="2:9" ht="15.75">
      <c r="B21" s="450" t="s">
        <v>44</v>
      </c>
      <c r="C21" s="451"/>
      <c r="D21" s="451"/>
      <c r="E21" s="451"/>
      <c r="F21" s="451"/>
      <c r="G21" s="451"/>
      <c r="H21" s="451"/>
      <c r="I21" s="452"/>
    </row>
    <row r="22" spans="2:9" ht="15.75">
      <c r="B22" s="20" t="s">
        <v>45</v>
      </c>
      <c r="C22" s="456">
        <v>41855210.924871027</v>
      </c>
      <c r="D22" s="457"/>
      <c r="E22" s="457"/>
      <c r="F22" s="457"/>
      <c r="G22" s="457"/>
      <c r="H22" s="457"/>
      <c r="I22" s="458"/>
    </row>
    <row r="23" spans="2:9" ht="15.75" outlineLevel="1">
      <c r="B23" s="23" t="s">
        <v>46</v>
      </c>
      <c r="C23" s="456">
        <v>75000</v>
      </c>
      <c r="D23" s="457"/>
      <c r="E23" s="457"/>
      <c r="F23" s="457"/>
      <c r="G23" s="457"/>
      <c r="H23" s="457"/>
      <c r="I23" s="458"/>
    </row>
    <row r="24" spans="2:9" ht="15.75" outlineLevel="1">
      <c r="B24" s="23" t="s">
        <v>47</v>
      </c>
      <c r="C24" s="456">
        <v>375000</v>
      </c>
      <c r="D24" s="457"/>
      <c r="E24" s="457"/>
      <c r="F24" s="457"/>
      <c r="G24" s="457"/>
      <c r="H24" s="457"/>
      <c r="I24" s="458"/>
    </row>
    <row r="25" spans="2:9" ht="15.75" outlineLevel="1">
      <c r="B25" s="23" t="s">
        <v>48</v>
      </c>
      <c r="C25" s="456">
        <v>25000000</v>
      </c>
      <c r="D25" s="457"/>
      <c r="E25" s="457"/>
      <c r="F25" s="457"/>
      <c r="G25" s="457"/>
      <c r="H25" s="457"/>
      <c r="I25" s="458"/>
    </row>
    <row r="26" spans="2:9" ht="15.75" outlineLevel="1">
      <c r="B26" s="23" t="s">
        <v>1</v>
      </c>
      <c r="C26" s="456">
        <v>242315</v>
      </c>
      <c r="D26" s="457"/>
      <c r="E26" s="457"/>
      <c r="F26" s="457"/>
      <c r="G26" s="457"/>
      <c r="H26" s="457"/>
      <c r="I26" s="458"/>
    </row>
    <row r="27" spans="2:9" ht="15.75" outlineLevel="1">
      <c r="B27" s="23" t="s">
        <v>49</v>
      </c>
      <c r="C27" s="456">
        <v>750000</v>
      </c>
      <c r="D27" s="457"/>
      <c r="E27" s="457"/>
      <c r="F27" s="457"/>
      <c r="G27" s="457"/>
      <c r="H27" s="457"/>
      <c r="I27" s="458"/>
    </row>
    <row r="28" spans="2:9" ht="15.75" hidden="1" outlineLevel="2">
      <c r="B28" s="23" t="s">
        <v>50</v>
      </c>
      <c r="C28" s="456"/>
      <c r="D28" s="457"/>
      <c r="E28" s="457"/>
      <c r="F28" s="457"/>
      <c r="G28" s="457"/>
      <c r="H28" s="457"/>
      <c r="I28" s="458"/>
    </row>
    <row r="29" spans="2:9" ht="30.75" customHeight="1" outlineLevel="1" collapsed="1">
      <c r="B29" s="23" t="s">
        <v>51</v>
      </c>
      <c r="C29" s="456">
        <v>916632</v>
      </c>
      <c r="D29" s="457"/>
      <c r="E29" s="457"/>
      <c r="F29" s="457"/>
      <c r="G29" s="457"/>
      <c r="H29" s="457"/>
      <c r="I29" s="458"/>
    </row>
    <row r="30" spans="2:9" ht="15.75">
      <c r="B30" s="450" t="s">
        <v>52</v>
      </c>
      <c r="C30" s="451"/>
      <c r="D30" s="451"/>
      <c r="E30" s="451"/>
      <c r="F30" s="451"/>
      <c r="G30" s="451"/>
      <c r="H30" s="451"/>
      <c r="I30" s="452"/>
    </row>
    <row r="31" spans="2:9" ht="15.75">
      <c r="B31" s="20" t="s">
        <v>53</v>
      </c>
      <c r="C31" s="456">
        <v>20262762.924871031</v>
      </c>
      <c r="D31" s="457"/>
      <c r="E31" s="457"/>
      <c r="F31" s="457"/>
      <c r="G31" s="457"/>
      <c r="H31" s="457"/>
      <c r="I31" s="458"/>
    </row>
    <row r="32" spans="2:9" ht="15.75">
      <c r="B32" s="23" t="s">
        <v>54</v>
      </c>
      <c r="C32" s="465">
        <v>14439474.505779264</v>
      </c>
      <c r="D32" s="466"/>
      <c r="E32" s="466"/>
      <c r="F32" s="466"/>
      <c r="G32" s="466"/>
      <c r="H32" s="466"/>
      <c r="I32" s="467"/>
    </row>
    <row r="33" spans="2:9" ht="15.75">
      <c r="B33" s="23" t="s">
        <v>55</v>
      </c>
      <c r="C33" s="465">
        <v>5823288.4190917658</v>
      </c>
      <c r="D33" s="466"/>
      <c r="E33" s="466"/>
      <c r="F33" s="466"/>
      <c r="G33" s="466"/>
      <c r="H33" s="466"/>
      <c r="I33" s="467"/>
    </row>
    <row r="34" spans="2:9" ht="15.75">
      <c r="B34" s="20" t="s">
        <v>56</v>
      </c>
      <c r="C34" s="456">
        <v>21592447.999999996</v>
      </c>
      <c r="D34" s="457"/>
      <c r="E34" s="457"/>
      <c r="F34" s="457"/>
      <c r="G34" s="457"/>
      <c r="H34" s="457"/>
      <c r="I34" s="458"/>
    </row>
    <row r="35" spans="2:9" ht="15.75">
      <c r="B35" s="450" t="s">
        <v>57</v>
      </c>
      <c r="C35" s="451"/>
      <c r="D35" s="451"/>
      <c r="E35" s="451"/>
      <c r="F35" s="451"/>
      <c r="G35" s="451"/>
      <c r="H35" s="451"/>
      <c r="I35" s="452"/>
    </row>
    <row r="36" spans="2:9" ht="15.75" outlineLevel="1">
      <c r="B36" s="471" t="s">
        <v>58</v>
      </c>
      <c r="C36" s="25" t="s">
        <v>5</v>
      </c>
      <c r="D36" s="26" t="s">
        <v>59</v>
      </c>
      <c r="E36" s="26" t="s">
        <v>9</v>
      </c>
      <c r="F36" s="26" t="s">
        <v>10</v>
      </c>
      <c r="G36" s="26" t="s">
        <v>60</v>
      </c>
      <c r="H36" s="26" t="s">
        <v>61</v>
      </c>
      <c r="I36" s="26" t="s">
        <v>62</v>
      </c>
    </row>
    <row r="37" spans="2:9" ht="15.75" customHeight="1" outlineLevel="1">
      <c r="B37" s="472"/>
      <c r="C37" s="25" t="s">
        <v>63</v>
      </c>
      <c r="D37" s="27">
        <v>0</v>
      </c>
      <c r="E37" s="27" t="e">
        <f>#REF!/1000000</f>
        <v>#REF!</v>
      </c>
      <c r="F37" s="27" t="e">
        <f>#REF!/1000000</f>
        <v>#REF!</v>
      </c>
      <c r="G37" s="27" t="e">
        <f>#REF!/1000000</f>
        <v>#REF!</v>
      </c>
      <c r="H37" s="27" t="e">
        <f>#REF!/1000000</f>
        <v>#REF!</v>
      </c>
      <c r="I37" s="27" t="e">
        <f>#REF!/1000000</f>
        <v>#REF!</v>
      </c>
    </row>
    <row r="38" spans="2:9" ht="15.75" customHeight="1" outlineLevel="1">
      <c r="B38" s="472"/>
      <c r="C38" s="25" t="s">
        <v>64</v>
      </c>
      <c r="D38" s="27" t="e">
        <f>#REF!/1000000</f>
        <v>#REF!</v>
      </c>
      <c r="E38" s="27" t="e">
        <f>#REF!/1000000</f>
        <v>#REF!</v>
      </c>
      <c r="F38" s="27" t="e">
        <f>#REF!/1000000</f>
        <v>#REF!</v>
      </c>
      <c r="G38" s="27" t="e">
        <f>#REF!/1000000</f>
        <v>#REF!</v>
      </c>
      <c r="H38" s="27" t="e">
        <f>#REF!/1000000</f>
        <v>#REF!</v>
      </c>
      <c r="I38" s="27" t="e">
        <f>#REF!/1000000</f>
        <v>#REF!</v>
      </c>
    </row>
    <row r="39" spans="2:9" ht="28.5" customHeight="1" outlineLevel="1">
      <c r="B39" s="472"/>
      <c r="C39" s="25" t="s">
        <v>24</v>
      </c>
      <c r="D39" s="27" t="e">
        <f>D37-D38</f>
        <v>#REF!</v>
      </c>
      <c r="E39" s="27" t="e">
        <f t="shared" ref="E39:I39" si="0">E37-E38</f>
        <v>#REF!</v>
      </c>
      <c r="F39" s="27" t="e">
        <f t="shared" si="0"/>
        <v>#REF!</v>
      </c>
      <c r="G39" s="27" t="e">
        <f t="shared" si="0"/>
        <v>#REF!</v>
      </c>
      <c r="H39" s="27" t="e">
        <f t="shared" si="0"/>
        <v>#REF!</v>
      </c>
      <c r="I39" s="27" t="e">
        <f t="shared" si="0"/>
        <v>#REF!</v>
      </c>
    </row>
    <row r="40" spans="2:9" ht="15.75">
      <c r="B40" s="20" t="s">
        <v>65</v>
      </c>
      <c r="C40" s="468">
        <v>59.92484405071977</v>
      </c>
      <c r="D40" s="469"/>
      <c r="E40" s="469"/>
      <c r="F40" s="469"/>
      <c r="G40" s="469"/>
      <c r="H40" s="469"/>
      <c r="I40" s="470"/>
    </row>
    <row r="41" spans="2:9" ht="15.75">
      <c r="B41" s="20" t="s">
        <v>66</v>
      </c>
      <c r="C41" s="473">
        <v>0.27667157038919066</v>
      </c>
      <c r="D41" s="463"/>
      <c r="E41" s="463"/>
      <c r="F41" s="463"/>
      <c r="G41" s="463"/>
      <c r="H41" s="463"/>
      <c r="I41" s="464"/>
    </row>
    <row r="42" spans="2:9" ht="15.75">
      <c r="B42" s="20" t="s">
        <v>67</v>
      </c>
      <c r="C42" s="456">
        <v>46206319.125212371</v>
      </c>
      <c r="D42" s="457"/>
      <c r="E42" s="457"/>
      <c r="F42" s="457"/>
      <c r="G42" s="457"/>
      <c r="H42" s="457"/>
      <c r="I42" s="458"/>
    </row>
    <row r="43" spans="2:9" ht="15.75">
      <c r="B43" s="20" t="s">
        <v>68</v>
      </c>
      <c r="C43" s="474">
        <v>3.2803563016817194</v>
      </c>
      <c r="D43" s="475"/>
      <c r="E43" s="475"/>
      <c r="F43" s="475"/>
      <c r="G43" s="475"/>
      <c r="H43" s="475"/>
      <c r="I43" s="476"/>
    </row>
    <row r="44" spans="2:9" ht="15.75">
      <c r="B44" s="20" t="s">
        <v>69</v>
      </c>
      <c r="C44" s="468">
        <v>572.44630595902572</v>
      </c>
      <c r="D44" s="469"/>
      <c r="E44" s="469"/>
      <c r="F44" s="469"/>
      <c r="G44" s="469"/>
      <c r="H44" s="469"/>
      <c r="I44" s="470"/>
    </row>
    <row r="45" spans="2:9" ht="15.75" outlineLevel="1">
      <c r="B45" s="20" t="s">
        <v>70</v>
      </c>
      <c r="C45" s="468">
        <f>C44/(C22/1000000)</f>
        <v>13.676822868878892</v>
      </c>
      <c r="D45" s="469"/>
      <c r="E45" s="469"/>
      <c r="F45" s="469"/>
      <c r="G45" s="469"/>
      <c r="H45" s="469"/>
      <c r="I45" s="470"/>
    </row>
    <row r="46" spans="2:9" ht="26.25" customHeight="1" outlineLevel="1">
      <c r="B46" s="20" t="s">
        <v>71</v>
      </c>
      <c r="C46" s="468" t="s">
        <v>461</v>
      </c>
      <c r="D46" s="469"/>
      <c r="E46" s="469"/>
      <c r="F46" s="469"/>
      <c r="G46" s="469"/>
      <c r="H46" s="469"/>
      <c r="I46" s="470"/>
    </row>
    <row r="47" spans="2:9" ht="15.75">
      <c r="B47" s="450" t="s">
        <v>72</v>
      </c>
      <c r="C47" s="451"/>
      <c r="D47" s="451"/>
      <c r="E47" s="451"/>
      <c r="F47" s="451"/>
      <c r="G47" s="451"/>
      <c r="H47" s="451"/>
      <c r="I47" s="452"/>
    </row>
    <row r="48" spans="2:9" ht="57.75" customHeight="1" outlineLevel="1">
      <c r="B48" s="20" t="s">
        <v>73</v>
      </c>
      <c r="C48" s="468">
        <v>0</v>
      </c>
      <c r="D48" s="469"/>
      <c r="E48" s="469"/>
      <c r="F48" s="469"/>
      <c r="G48" s="469"/>
      <c r="H48" s="469"/>
      <c r="I48" s="470"/>
    </row>
    <row r="49" spans="2:9" ht="31.5" customHeight="1" outlineLevel="1">
      <c r="B49" s="20" t="s">
        <v>74</v>
      </c>
      <c r="C49" s="468">
        <v>0</v>
      </c>
      <c r="D49" s="469"/>
      <c r="E49" s="469"/>
      <c r="F49" s="469"/>
      <c r="G49" s="469"/>
      <c r="H49" s="469"/>
      <c r="I49" s="470"/>
    </row>
    <row r="50" spans="2:9" ht="15.75">
      <c r="B50" s="20" t="s">
        <v>75</v>
      </c>
      <c r="C50" s="468" t="s">
        <v>462</v>
      </c>
      <c r="D50" s="469"/>
      <c r="E50" s="469"/>
      <c r="F50" s="469"/>
      <c r="G50" s="469"/>
      <c r="H50" s="469"/>
      <c r="I50" s="470"/>
    </row>
    <row r="51" spans="2:9" ht="15.75">
      <c r="B51" s="20" t="s">
        <v>76</v>
      </c>
      <c r="C51" s="480">
        <v>0</v>
      </c>
      <c r="D51" s="481"/>
      <c r="E51" s="481"/>
      <c r="F51" s="481"/>
      <c r="G51" s="481"/>
      <c r="H51" s="481"/>
      <c r="I51" s="482"/>
    </row>
    <row r="52" spans="2:9" ht="15.75" outlineLevel="1">
      <c r="B52" s="20" t="s">
        <v>77</v>
      </c>
      <c r="C52" s="468">
        <v>0</v>
      </c>
      <c r="D52" s="469"/>
      <c r="E52" s="469"/>
      <c r="F52" s="469"/>
      <c r="G52" s="469"/>
      <c r="H52" s="469"/>
      <c r="I52" s="470"/>
    </row>
    <row r="53" spans="2:9" ht="15.75">
      <c r="B53" s="20" t="s">
        <v>78</v>
      </c>
      <c r="C53" s="468" t="s">
        <v>463</v>
      </c>
      <c r="D53" s="469"/>
      <c r="E53" s="469"/>
      <c r="F53" s="469"/>
      <c r="G53" s="469"/>
      <c r="H53" s="469"/>
      <c r="I53" s="470"/>
    </row>
    <row r="54" spans="2:9" ht="15.75" outlineLevel="1">
      <c r="B54" s="20" t="s">
        <v>79</v>
      </c>
      <c r="C54" s="468" t="s">
        <v>464</v>
      </c>
      <c r="D54" s="469"/>
      <c r="E54" s="469"/>
      <c r="F54" s="469"/>
      <c r="G54" s="469"/>
      <c r="H54" s="469"/>
      <c r="I54" s="470"/>
    </row>
    <row r="55" spans="2:9" ht="15.75" outlineLevel="1">
      <c r="B55" s="450" t="s">
        <v>80</v>
      </c>
      <c r="C55" s="451"/>
      <c r="D55" s="451"/>
      <c r="E55" s="451"/>
      <c r="F55" s="451"/>
      <c r="G55" s="451"/>
      <c r="H55" s="451"/>
      <c r="I55" s="452"/>
    </row>
    <row r="56" spans="2:9" ht="27.75" customHeight="1" outlineLevel="1">
      <c r="B56" s="20" t="s">
        <v>81</v>
      </c>
      <c r="C56" s="477">
        <v>0</v>
      </c>
      <c r="D56" s="478"/>
      <c r="E56" s="479"/>
      <c r="F56" s="477">
        <v>0</v>
      </c>
      <c r="G56" s="478"/>
      <c r="H56" s="478"/>
      <c r="I56" s="479"/>
    </row>
    <row r="57" spans="2:9" ht="15.75" outlineLevel="1">
      <c r="B57" s="20" t="s">
        <v>82</v>
      </c>
      <c r="C57" s="477">
        <v>0</v>
      </c>
      <c r="D57" s="478"/>
      <c r="E57" s="479"/>
      <c r="F57" s="477">
        <v>0</v>
      </c>
      <c r="G57" s="478"/>
      <c r="H57" s="478"/>
      <c r="I57" s="479"/>
    </row>
    <row r="58" spans="2:9" ht="38.25" customHeight="1" outlineLevel="1">
      <c r="B58" s="471" t="s">
        <v>83</v>
      </c>
      <c r="C58" s="28" t="s">
        <v>465</v>
      </c>
      <c r="D58" s="28" t="s">
        <v>466</v>
      </c>
      <c r="E58" s="28" t="s">
        <v>467</v>
      </c>
      <c r="F58" s="28" t="s">
        <v>468</v>
      </c>
      <c r="G58" s="28" t="s">
        <v>2</v>
      </c>
      <c r="H58" s="28" t="s">
        <v>2</v>
      </c>
      <c r="I58" s="28">
        <v>0</v>
      </c>
    </row>
    <row r="59" spans="2:9" ht="29.25" customHeight="1" outlineLevel="1">
      <c r="B59" s="483"/>
      <c r="C59" s="29">
        <v>0</v>
      </c>
      <c r="D59" s="29">
        <v>0</v>
      </c>
      <c r="E59" s="29">
        <v>0</v>
      </c>
      <c r="F59" s="28" t="s">
        <v>469</v>
      </c>
      <c r="G59" s="28" t="s">
        <v>469</v>
      </c>
      <c r="H59" s="28" t="s">
        <v>469</v>
      </c>
      <c r="I59" s="28">
        <v>0</v>
      </c>
    </row>
    <row r="60" spans="2:9" ht="15.75" outlineLevel="1">
      <c r="B60" s="20" t="s">
        <v>84</v>
      </c>
      <c r="C60" s="468"/>
      <c r="D60" s="469"/>
      <c r="E60" s="469"/>
      <c r="F60" s="469"/>
      <c r="G60" s="469"/>
      <c r="H60" s="469"/>
      <c r="I60" s="470"/>
    </row>
    <row r="61" spans="2:9" ht="15.75">
      <c r="B61" s="450" t="s">
        <v>85</v>
      </c>
      <c r="C61" s="451"/>
      <c r="D61" s="451"/>
      <c r="E61" s="451"/>
      <c r="F61" s="451"/>
      <c r="G61" s="451"/>
      <c r="H61" s="451"/>
      <c r="I61" s="452"/>
    </row>
    <row r="62" spans="2:9" ht="15.75">
      <c r="B62" s="20" t="s">
        <v>86</v>
      </c>
      <c r="C62" s="477" t="s">
        <v>458</v>
      </c>
      <c r="D62" s="478"/>
      <c r="E62" s="478"/>
      <c r="F62" s="478"/>
      <c r="G62" s="478"/>
      <c r="H62" s="478"/>
      <c r="I62" s="479"/>
    </row>
    <row r="63" spans="2:9" ht="15.75">
      <c r="B63" s="20" t="s">
        <v>87</v>
      </c>
      <c r="C63" s="477" t="s">
        <v>470</v>
      </c>
      <c r="D63" s="478"/>
      <c r="E63" s="478"/>
      <c r="F63" s="478"/>
      <c r="G63" s="478"/>
      <c r="H63" s="478"/>
      <c r="I63" s="479"/>
    </row>
    <row r="64" spans="2:9" ht="15.75" outlineLevel="1">
      <c r="B64" s="20" t="s">
        <v>88</v>
      </c>
      <c r="C64" s="477" t="s">
        <v>470</v>
      </c>
      <c r="D64" s="478"/>
      <c r="E64" s="478"/>
      <c r="F64" s="478"/>
      <c r="G64" s="478"/>
      <c r="H64" s="478"/>
      <c r="I64" s="479"/>
    </row>
    <row r="65" spans="2:9" ht="31.5" outlineLevel="1">
      <c r="B65" s="20" t="s">
        <v>89</v>
      </c>
      <c r="C65" s="477" t="s">
        <v>470</v>
      </c>
      <c r="D65" s="478"/>
      <c r="E65" s="478"/>
      <c r="F65" s="478"/>
      <c r="G65" s="478"/>
      <c r="H65" s="478"/>
      <c r="I65" s="479"/>
    </row>
    <row r="66" spans="2:9" ht="31.5" outlineLevel="1">
      <c r="B66" s="20" t="s">
        <v>90</v>
      </c>
      <c r="C66" s="477" t="s">
        <v>470</v>
      </c>
      <c r="D66" s="478"/>
      <c r="E66" s="478"/>
      <c r="F66" s="478"/>
      <c r="G66" s="478"/>
      <c r="H66" s="478"/>
      <c r="I66" s="479"/>
    </row>
    <row r="67" spans="2:9" ht="15.75" outlineLevel="1">
      <c r="B67" s="20" t="s">
        <v>91</v>
      </c>
      <c r="C67" s="477" t="s">
        <v>470</v>
      </c>
      <c r="D67" s="478"/>
      <c r="E67" s="478"/>
      <c r="F67" s="478"/>
      <c r="G67" s="478"/>
      <c r="H67" s="478"/>
      <c r="I67" s="479"/>
    </row>
    <row r="68" spans="2:9" ht="15.75" outlineLevel="1">
      <c r="B68" s="20" t="s">
        <v>92</v>
      </c>
      <c r="C68" s="484">
        <v>0</v>
      </c>
      <c r="D68" s="485"/>
      <c r="E68" s="485"/>
      <c r="F68" s="485"/>
      <c r="G68" s="485"/>
      <c r="H68" s="485"/>
      <c r="I68" s="486"/>
    </row>
    <row r="69" spans="2:9" ht="15.75" customHeight="1">
      <c r="B69" s="20" t="s">
        <v>93</v>
      </c>
      <c r="C69" s="477">
        <v>0</v>
      </c>
      <c r="D69" s="478"/>
      <c r="E69" s="478"/>
      <c r="F69" s="478"/>
      <c r="G69" s="478"/>
      <c r="H69" s="478"/>
      <c r="I69" s="479"/>
    </row>
    <row r="70" spans="2:9" ht="15.75">
      <c r="B70" s="450" t="s">
        <v>94</v>
      </c>
      <c r="C70" s="451"/>
      <c r="D70" s="451"/>
      <c r="E70" s="451"/>
      <c r="F70" s="451"/>
      <c r="G70" s="451"/>
      <c r="H70" s="451"/>
      <c r="I70" s="452"/>
    </row>
    <row r="71" spans="2:9" ht="15.75">
      <c r="B71" s="20" t="s">
        <v>95</v>
      </c>
      <c r="C71" s="468" t="s">
        <v>471</v>
      </c>
      <c r="D71" s="469"/>
      <c r="E71" s="469"/>
      <c r="F71" s="469"/>
      <c r="G71" s="469"/>
      <c r="H71" s="469"/>
      <c r="I71" s="470"/>
    </row>
    <row r="72" spans="2:9" ht="15.75">
      <c r="B72" s="20" t="s">
        <v>96</v>
      </c>
      <c r="C72" s="468" t="s">
        <v>470</v>
      </c>
      <c r="D72" s="469"/>
      <c r="E72" s="469"/>
      <c r="F72" s="469"/>
      <c r="G72" s="469"/>
      <c r="H72" s="469"/>
      <c r="I72" s="470"/>
    </row>
    <row r="73" spans="2:9" ht="15.75">
      <c r="B73" s="20" t="s">
        <v>97</v>
      </c>
      <c r="C73" s="468" t="s">
        <v>470</v>
      </c>
      <c r="D73" s="469"/>
      <c r="E73" s="469"/>
      <c r="F73" s="469"/>
      <c r="G73" s="469"/>
      <c r="H73" s="469"/>
      <c r="I73" s="470"/>
    </row>
    <row r="74" spans="2:9" ht="15.75" outlineLevel="1">
      <c r="B74" s="450" t="s">
        <v>98</v>
      </c>
      <c r="C74" s="451"/>
      <c r="D74" s="451"/>
      <c r="E74" s="451"/>
      <c r="F74" s="451"/>
      <c r="G74" s="451"/>
      <c r="H74" s="451"/>
      <c r="I74" s="452"/>
    </row>
    <row r="75" spans="2:9" ht="15.75" outlineLevel="1">
      <c r="B75" s="30" t="s">
        <v>99</v>
      </c>
      <c r="C75" s="468" t="s">
        <v>100</v>
      </c>
      <c r="D75" s="469"/>
      <c r="E75" s="469"/>
      <c r="F75" s="469"/>
      <c r="G75" s="469"/>
      <c r="H75" s="469"/>
      <c r="I75" s="470"/>
    </row>
    <row r="76" spans="2:9" ht="15.75" outlineLevel="1">
      <c r="B76" s="30" t="s">
        <v>101</v>
      </c>
      <c r="C76" s="468" t="s">
        <v>102</v>
      </c>
      <c r="D76" s="469"/>
      <c r="E76" s="469"/>
      <c r="F76" s="469"/>
      <c r="G76" s="469"/>
      <c r="H76" s="469"/>
      <c r="I76" s="470"/>
    </row>
    <row r="77" spans="2:9" ht="10.5" customHeight="1">
      <c r="B77" s="30"/>
      <c r="C77" s="468"/>
      <c r="D77" s="469"/>
      <c r="E77" s="469"/>
      <c r="F77" s="469"/>
      <c r="G77" s="469"/>
      <c r="H77" s="469"/>
      <c r="I77" s="470"/>
    </row>
    <row r="78" spans="2:9" ht="15.75" hidden="1" outlineLevel="1">
      <c r="B78" s="20" t="s">
        <v>103</v>
      </c>
      <c r="C78" s="450" t="s">
        <v>472</v>
      </c>
      <c r="D78" s="451"/>
      <c r="E78" s="451"/>
      <c r="F78" s="451"/>
      <c r="G78" s="451"/>
      <c r="H78" s="451"/>
      <c r="I78" s="452"/>
    </row>
    <row r="79" spans="2:9" ht="15.75" hidden="1" outlineLevel="1">
      <c r="B79" s="20" t="s">
        <v>104</v>
      </c>
      <c r="C79" s="468"/>
      <c r="D79" s="469"/>
      <c r="E79" s="469"/>
      <c r="F79" s="469"/>
      <c r="G79" s="469"/>
      <c r="H79" s="469"/>
      <c r="I79" s="470"/>
    </row>
    <row r="80" spans="2:9" collapsed="1"/>
  </sheetData>
  <mergeCells count="79">
    <mergeCell ref="C75:I75"/>
    <mergeCell ref="C76:I76"/>
    <mergeCell ref="C77:I77"/>
    <mergeCell ref="C78:I78"/>
    <mergeCell ref="C79:I79"/>
    <mergeCell ref="B74:I74"/>
    <mergeCell ref="C63:I63"/>
    <mergeCell ref="C64:I64"/>
    <mergeCell ref="C65:I65"/>
    <mergeCell ref="C66:I66"/>
    <mergeCell ref="C67:I67"/>
    <mergeCell ref="C68:I68"/>
    <mergeCell ref="C69:I69"/>
    <mergeCell ref="B70:I70"/>
    <mergeCell ref="C71:I71"/>
    <mergeCell ref="C72:I72"/>
    <mergeCell ref="C73:I73"/>
    <mergeCell ref="C62:I62"/>
    <mergeCell ref="C51:I51"/>
    <mergeCell ref="C52:I52"/>
    <mergeCell ref="C53:I53"/>
    <mergeCell ref="C54:I54"/>
    <mergeCell ref="B55:I55"/>
    <mergeCell ref="C56:E56"/>
    <mergeCell ref="F56:I56"/>
    <mergeCell ref="C57:E57"/>
    <mergeCell ref="F57:I57"/>
    <mergeCell ref="B58:B59"/>
    <mergeCell ref="C60:I60"/>
    <mergeCell ref="B61:I61"/>
    <mergeCell ref="C50:I50"/>
    <mergeCell ref="B36:B39"/>
    <mergeCell ref="C40:I40"/>
    <mergeCell ref="C41:I41"/>
    <mergeCell ref="C42:I42"/>
    <mergeCell ref="C43:I43"/>
    <mergeCell ref="C44:I44"/>
    <mergeCell ref="C45:I45"/>
    <mergeCell ref="C46:I46"/>
    <mergeCell ref="B47:I47"/>
    <mergeCell ref="C48:I48"/>
    <mergeCell ref="C49:I49"/>
    <mergeCell ref="B35:I35"/>
    <mergeCell ref="C24:I24"/>
    <mergeCell ref="C25:I25"/>
    <mergeCell ref="C26:I26"/>
    <mergeCell ref="C27:I27"/>
    <mergeCell ref="C28:I28"/>
    <mergeCell ref="C29:I29"/>
    <mergeCell ref="B30:I30"/>
    <mergeCell ref="C31:I31"/>
    <mergeCell ref="C32:I32"/>
    <mergeCell ref="C33:I33"/>
    <mergeCell ref="C34:I34"/>
    <mergeCell ref="C23:I23"/>
    <mergeCell ref="C12:I12"/>
    <mergeCell ref="C13:I13"/>
    <mergeCell ref="C14:I14"/>
    <mergeCell ref="C15:I15"/>
    <mergeCell ref="C16:I16"/>
    <mergeCell ref="C17:I17"/>
    <mergeCell ref="C18:I18"/>
    <mergeCell ref="C19:I19"/>
    <mergeCell ref="C20:I20"/>
    <mergeCell ref="B21:I21"/>
    <mergeCell ref="C22:I22"/>
    <mergeCell ref="B9:I9"/>
    <mergeCell ref="C10:D10"/>
    <mergeCell ref="E10:F10"/>
    <mergeCell ref="G10:I10"/>
    <mergeCell ref="C11:D11"/>
    <mergeCell ref="E11:F11"/>
    <mergeCell ref="G11:I11"/>
    <mergeCell ref="C8:I8"/>
    <mergeCell ref="B3:I3"/>
    <mergeCell ref="B4:I4"/>
    <mergeCell ref="B5:I5"/>
    <mergeCell ref="C6:I6"/>
    <mergeCell ref="C7:I7"/>
  </mergeCells>
  <printOptions horizontalCentered="1" verticalCentered="1"/>
  <pageMargins left="0.70866141732283472" right="0.70866141732283472" top="0.74803149606299213" bottom="0.74803149606299213" header="0.31496062992125984" footer="0.31496062992125984"/>
  <pageSetup paperSize="9" scale="52"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A0133-5890-42A1-9B78-EBEBE4AFC576}">
  <sheetPr>
    <pageSetUpPr fitToPage="1"/>
  </sheetPr>
  <dimension ref="C2:S68"/>
  <sheetViews>
    <sheetView zoomScale="55" zoomScaleNormal="55" workbookViewId="0">
      <selection activeCell="A10" sqref="A10"/>
    </sheetView>
  </sheetViews>
  <sheetFormatPr defaultRowHeight="19.5" outlineLevelRow="1" outlineLevelCol="1"/>
  <cols>
    <col min="1" max="1" width="14.85546875" customWidth="1"/>
    <col min="2" max="2" width="3.7109375" customWidth="1"/>
    <col min="3" max="3" width="7.5703125" style="142" customWidth="1"/>
    <col min="4" max="4" width="77.85546875" customWidth="1"/>
    <col min="5" max="5" width="19.28515625" style="143" customWidth="1"/>
    <col min="6" max="6" width="37.85546875" style="142" customWidth="1"/>
    <col min="7" max="7" width="39.85546875" style="142" customWidth="1"/>
    <col min="8" max="8" width="38" style="142" customWidth="1"/>
    <col min="9" max="9" width="29.28515625" style="142" hidden="1" customWidth="1" outlineLevel="1"/>
    <col min="10" max="10" width="34.85546875" style="142" customWidth="1" collapsed="1"/>
    <col min="11" max="11" width="2.85546875" customWidth="1"/>
    <col min="19" max="19" width="18" bestFit="1" customWidth="1"/>
  </cols>
  <sheetData>
    <row r="2" spans="3:19" ht="79.5" customHeight="1">
      <c r="C2" s="487" t="s">
        <v>176</v>
      </c>
      <c r="D2" s="488"/>
      <c r="E2" s="488"/>
      <c r="F2" s="488"/>
      <c r="G2" s="488"/>
      <c r="H2" s="488"/>
      <c r="I2" s="488"/>
      <c r="J2" s="488"/>
    </row>
    <row r="3" spans="3:19" ht="59.25" customHeight="1">
      <c r="C3" s="489" t="s">
        <v>457</v>
      </c>
      <c r="D3" s="489"/>
      <c r="E3" s="489"/>
      <c r="F3" s="489"/>
      <c r="G3" s="489"/>
      <c r="H3" s="489"/>
      <c r="I3" s="489"/>
      <c r="J3" s="489"/>
    </row>
    <row r="4" spans="3:19" ht="19.5" customHeight="1">
      <c r="C4" s="144"/>
      <c r="D4" s="144"/>
      <c r="E4" s="144"/>
      <c r="F4" s="144"/>
      <c r="G4" s="144"/>
      <c r="H4" s="144"/>
      <c r="I4" s="144"/>
      <c r="J4" s="144"/>
    </row>
    <row r="5" spans="3:19" s="145" customFormat="1" ht="32.25" customHeight="1">
      <c r="C5" s="490" t="s">
        <v>13</v>
      </c>
      <c r="D5" s="491" t="s">
        <v>177</v>
      </c>
      <c r="E5" s="492" t="s">
        <v>178</v>
      </c>
      <c r="F5" s="491" t="s">
        <v>179</v>
      </c>
      <c r="G5" s="491" t="s">
        <v>180</v>
      </c>
      <c r="H5" s="491"/>
      <c r="I5" s="491"/>
      <c r="J5" s="491"/>
    </row>
    <row r="6" spans="3:19" s="145" customFormat="1" ht="34.5" customHeight="1">
      <c r="C6" s="490"/>
      <c r="D6" s="491"/>
      <c r="E6" s="492"/>
      <c r="F6" s="491"/>
      <c r="G6" s="493" t="s">
        <v>181</v>
      </c>
      <c r="H6" s="494"/>
      <c r="I6" s="495" t="s">
        <v>182</v>
      </c>
      <c r="J6" s="496"/>
    </row>
    <row r="7" spans="3:19" s="145" customFormat="1" ht="46.5">
      <c r="C7" s="490"/>
      <c r="D7" s="491"/>
      <c r="E7" s="492"/>
      <c r="F7" s="491"/>
      <c r="G7" s="146" t="s">
        <v>183</v>
      </c>
      <c r="H7" s="146" t="s">
        <v>184</v>
      </c>
      <c r="I7" s="497"/>
      <c r="J7" s="498"/>
      <c r="S7" s="145">
        <f>145/12</f>
        <v>12.083333333333334</v>
      </c>
    </row>
    <row r="8" spans="3:19" s="145" customFormat="1" ht="43.5" customHeight="1">
      <c r="C8" s="147" t="s">
        <v>185</v>
      </c>
      <c r="D8" s="148" t="s">
        <v>186</v>
      </c>
      <c r="E8" s="149" t="s">
        <v>187</v>
      </c>
      <c r="F8" s="150">
        <f>G8+H8+J8+I8</f>
        <v>41855.210924871026</v>
      </c>
      <c r="G8" s="151">
        <v>14439.474505779264</v>
      </c>
      <c r="H8" s="151">
        <v>5823.2884190917657</v>
      </c>
      <c r="I8" s="499">
        <v>21592.447999999997</v>
      </c>
      <c r="J8" s="500"/>
    </row>
    <row r="9" spans="3:19" s="145" customFormat="1" ht="41.25" customHeight="1">
      <c r="C9" s="501" t="s">
        <v>188</v>
      </c>
      <c r="D9" s="152" t="s">
        <v>189</v>
      </c>
      <c r="E9" s="149" t="s">
        <v>187</v>
      </c>
      <c r="F9" s="150" t="e">
        <f>G9+H9+J9+I9</f>
        <v>#REF!</v>
      </c>
      <c r="G9" s="151" t="e">
        <f>#REF!/1000</f>
        <v>#REF!</v>
      </c>
      <c r="H9" s="151" t="e">
        <f>#REF!/1000</f>
        <v>#REF!</v>
      </c>
      <c r="I9" s="499">
        <v>21592.447999999997</v>
      </c>
      <c r="J9" s="500"/>
    </row>
    <row r="10" spans="3:19" s="145" customFormat="1" ht="23.25">
      <c r="C10" s="501"/>
      <c r="D10" s="153" t="s">
        <v>190</v>
      </c>
      <c r="E10" s="502" t="s">
        <v>191</v>
      </c>
      <c r="F10" s="502"/>
      <c r="G10" s="502"/>
      <c r="H10" s="502"/>
      <c r="I10" s="502"/>
      <c r="J10" s="502"/>
    </row>
    <row r="11" spans="3:19" s="145" customFormat="1" ht="42" customHeight="1">
      <c r="C11" s="501"/>
      <c r="D11" s="154" t="s">
        <v>46</v>
      </c>
      <c r="E11" s="155" t="str">
        <f>$E$9</f>
        <v>тыс. долл. США ‎</v>
      </c>
      <c r="F11" s="150" t="e">
        <f>G11+H11+J11+I11</f>
        <v>#REF!</v>
      </c>
      <c r="G11" s="151">
        <f>G17</f>
        <v>468.77567999999997</v>
      </c>
      <c r="H11" s="151">
        <f>H17</f>
        <v>0</v>
      </c>
      <c r="I11" s="499" t="e">
        <f>I17</f>
        <v>#REF!</v>
      </c>
      <c r="J11" s="500"/>
    </row>
    <row r="12" spans="3:19" s="145" customFormat="1" ht="30.75">
      <c r="C12" s="501"/>
      <c r="D12" s="156" t="s">
        <v>47</v>
      </c>
      <c r="E12" s="155" t="str">
        <f>$E$9</f>
        <v>тыс. долл. США ‎</v>
      </c>
      <c r="F12" s="150" t="e">
        <f>G12+H12+J12+I12</f>
        <v>#REF!</v>
      </c>
      <c r="G12" s="151">
        <f>G18+G19</f>
        <v>11719.392</v>
      </c>
      <c r="H12" s="151">
        <f>H18+H19</f>
        <v>0</v>
      </c>
      <c r="I12" s="499" t="e">
        <f>I18+I19</f>
        <v>#REF!</v>
      </c>
      <c r="J12" s="500"/>
    </row>
    <row r="13" spans="3:19" s="145" customFormat="1" ht="30.75">
      <c r="C13" s="501"/>
      <c r="D13" s="156" t="s">
        <v>48</v>
      </c>
      <c r="E13" s="155" t="str">
        <f>$E$9</f>
        <v>тыс. долл. США ‎</v>
      </c>
      <c r="F13" s="150" t="e">
        <f>G13+H13+J13+I13</f>
        <v>#REF!</v>
      </c>
      <c r="G13" s="151">
        <f>G20+G21+G22+G23</f>
        <v>1206.6368</v>
      </c>
      <c r="H13" s="151">
        <f>H20+H21+H22+H23</f>
        <v>25402.880000000001</v>
      </c>
      <c r="I13" s="499" t="e">
        <f>I20+I21</f>
        <v>#REF!</v>
      </c>
      <c r="J13" s="500"/>
    </row>
    <row r="14" spans="3:19" s="145" customFormat="1" ht="30.75">
      <c r="C14" s="501"/>
      <c r="D14" s="156" t="s">
        <v>192</v>
      </c>
      <c r="E14" s="155" t="str">
        <f>$E$9</f>
        <v>тыс. долл. США ‎</v>
      </c>
      <c r="F14" s="150" t="e">
        <f>G14+H14+J14+I14</f>
        <v>#REF!</v>
      </c>
      <c r="G14" s="151">
        <f>G25</f>
        <v>133.94804479999999</v>
      </c>
      <c r="H14" s="151">
        <f>H25</f>
        <v>254.02880000000002</v>
      </c>
      <c r="I14" s="499" t="e">
        <f>I22+I23</f>
        <v>#REF!</v>
      </c>
      <c r="J14" s="500"/>
    </row>
    <row r="15" spans="3:19" s="145" customFormat="1" ht="30.75">
      <c r="C15" s="501"/>
      <c r="D15" s="156" t="s">
        <v>193</v>
      </c>
      <c r="E15" s="155" t="str">
        <f>$E$9</f>
        <v>тыс. долл. США ‎</v>
      </c>
      <c r="F15" s="150" t="e">
        <f>G15+H15+J15+I15</f>
        <v>#REF!</v>
      </c>
      <c r="G15" s="151">
        <f>G24</f>
        <v>0</v>
      </c>
      <c r="H15" s="151">
        <f>H24</f>
        <v>0</v>
      </c>
      <c r="I15" s="499" t="e">
        <f>I24+I25</f>
        <v>#REF!</v>
      </c>
      <c r="J15" s="500"/>
    </row>
    <row r="16" spans="3:19" s="145" customFormat="1" ht="23.25" hidden="1" outlineLevel="1">
      <c r="C16" s="501"/>
      <c r="D16" s="153"/>
      <c r="E16" s="155"/>
      <c r="F16" s="157"/>
      <c r="G16" s="157"/>
      <c r="H16" s="157"/>
      <c r="I16" s="158"/>
      <c r="J16" s="159"/>
    </row>
    <row r="17" spans="3:10" s="145" customFormat="1" ht="39" hidden="1" customHeight="1" outlineLevel="1">
      <c r="C17" s="501"/>
      <c r="D17" s="156" t="e">
        <f>#REF!</f>
        <v>#REF!</v>
      </c>
      <c r="E17" s="149" t="s">
        <v>187</v>
      </c>
      <c r="F17" s="150" t="e">
        <f t="shared" ref="F17:F27" si="0">G17+H17+J17+I17</f>
        <v>#REF!</v>
      </c>
      <c r="G17" s="151">
        <v>468.77567999999997</v>
      </c>
      <c r="H17" s="151">
        <v>0</v>
      </c>
      <c r="I17" s="499" t="e">
        <f>#REF!/1000</f>
        <v>#REF!</v>
      </c>
      <c r="J17" s="500"/>
    </row>
    <row r="18" spans="3:10" s="145" customFormat="1" ht="41.25" hidden="1" customHeight="1" outlineLevel="1">
      <c r="C18" s="501"/>
      <c r="D18" s="156" t="e">
        <f>#REF!</f>
        <v>#REF!</v>
      </c>
      <c r="E18" s="149" t="s">
        <v>187</v>
      </c>
      <c r="F18" s="150" t="e">
        <f t="shared" si="0"/>
        <v>#REF!</v>
      </c>
      <c r="G18" s="151">
        <v>0</v>
      </c>
      <c r="H18" s="151">
        <v>0</v>
      </c>
      <c r="I18" s="499" t="e">
        <f>#REF!/1000</f>
        <v>#REF!</v>
      </c>
      <c r="J18" s="500"/>
    </row>
    <row r="19" spans="3:10" s="145" customFormat="1" ht="41.25" hidden="1" customHeight="1" outlineLevel="1">
      <c r="C19" s="501"/>
      <c r="D19" s="156" t="e">
        <f>#REF!</f>
        <v>#REF!</v>
      </c>
      <c r="E19" s="149" t="s">
        <v>187</v>
      </c>
      <c r="F19" s="150" t="e">
        <f t="shared" si="0"/>
        <v>#REF!</v>
      </c>
      <c r="G19" s="151">
        <v>11719.392</v>
      </c>
      <c r="H19" s="151">
        <v>0</v>
      </c>
      <c r="I19" s="499" t="e">
        <f>#REF!/1000</f>
        <v>#REF!</v>
      </c>
      <c r="J19" s="500"/>
    </row>
    <row r="20" spans="3:10" s="145" customFormat="1" ht="30.75" hidden="1" outlineLevel="1">
      <c r="C20" s="501"/>
      <c r="D20" s="156" t="e">
        <f>#REF!</f>
        <v>#REF!</v>
      </c>
      <c r="E20" s="149" t="s">
        <v>187</v>
      </c>
      <c r="F20" s="150" t="e">
        <f t="shared" si="0"/>
        <v>#REF!</v>
      </c>
      <c r="G20" s="151">
        <v>0</v>
      </c>
      <c r="H20" s="151">
        <v>24132.736000000001</v>
      </c>
      <c r="I20" s="499" t="e">
        <f>#REF!/1000</f>
        <v>#REF!</v>
      </c>
      <c r="J20" s="500"/>
    </row>
    <row r="21" spans="3:10" s="145" customFormat="1" ht="30.75" hidden="1" outlineLevel="1">
      <c r="C21" s="501"/>
      <c r="D21" s="156" t="e">
        <f>#REF!</f>
        <v>#REF!</v>
      </c>
      <c r="E21" s="149" t="s">
        <v>187</v>
      </c>
      <c r="F21" s="150" t="e">
        <f t="shared" si="0"/>
        <v>#REF!</v>
      </c>
      <c r="G21" s="151">
        <v>0</v>
      </c>
      <c r="H21" s="151">
        <v>0</v>
      </c>
      <c r="I21" s="499" t="e">
        <f>#REF!/1000</f>
        <v>#REF!</v>
      </c>
      <c r="J21" s="500"/>
    </row>
    <row r="22" spans="3:10" s="145" customFormat="1" ht="30.75" hidden="1" outlineLevel="1">
      <c r="C22" s="501"/>
      <c r="D22" s="156" t="e">
        <f>#REF!</f>
        <v>#REF!</v>
      </c>
      <c r="E22" s="149" t="s">
        <v>187</v>
      </c>
      <c r="F22" s="150" t="e">
        <f t="shared" si="0"/>
        <v>#REF!</v>
      </c>
      <c r="G22" s="151">
        <v>1206.6368</v>
      </c>
      <c r="H22" s="151">
        <v>0</v>
      </c>
      <c r="I22" s="499" t="e">
        <f>#REF!/1000</f>
        <v>#REF!</v>
      </c>
      <c r="J22" s="500"/>
    </row>
    <row r="23" spans="3:10" s="145" customFormat="1" ht="47.25" hidden="1" customHeight="1" outlineLevel="1">
      <c r="C23" s="501"/>
      <c r="D23" s="156" t="e">
        <f>#REF!</f>
        <v>#REF!</v>
      </c>
      <c r="E23" s="149" t="s">
        <v>187</v>
      </c>
      <c r="F23" s="150" t="e">
        <f t="shared" si="0"/>
        <v>#REF!</v>
      </c>
      <c r="G23" s="151">
        <v>0</v>
      </c>
      <c r="H23" s="151">
        <v>1270.144</v>
      </c>
      <c r="I23" s="499" t="e">
        <f>#REF!/1000</f>
        <v>#REF!</v>
      </c>
      <c r="J23" s="500"/>
    </row>
    <row r="24" spans="3:10" s="145" customFormat="1" ht="48.75" hidden="1" customHeight="1" outlineLevel="1">
      <c r="C24" s="501"/>
      <c r="D24" s="156" t="e">
        <f>#REF!</f>
        <v>#REF!</v>
      </c>
      <c r="E24" s="149" t="s">
        <v>187</v>
      </c>
      <c r="F24" s="150" t="e">
        <f t="shared" si="0"/>
        <v>#REF!</v>
      </c>
      <c r="G24" s="151">
        <v>0</v>
      </c>
      <c r="H24" s="151">
        <v>0</v>
      </c>
      <c r="I24" s="499" t="e">
        <f>#REF!/1000</f>
        <v>#REF!</v>
      </c>
      <c r="J24" s="500"/>
    </row>
    <row r="25" spans="3:10" s="145" customFormat="1" ht="39" hidden="1" customHeight="1" outlineLevel="1">
      <c r="C25" s="501"/>
      <c r="D25" s="156" t="e">
        <f>#REF!</f>
        <v>#REF!</v>
      </c>
      <c r="E25" s="149" t="s">
        <v>187</v>
      </c>
      <c r="F25" s="150" t="e">
        <f t="shared" si="0"/>
        <v>#REF!</v>
      </c>
      <c r="G25" s="151">
        <v>133.94804479999999</v>
      </c>
      <c r="H25" s="151">
        <v>254.02880000000002</v>
      </c>
      <c r="I25" s="499" t="e">
        <f>#REF!/1000</f>
        <v>#REF!</v>
      </c>
      <c r="J25" s="500"/>
    </row>
    <row r="26" spans="3:10" s="145" customFormat="1" ht="46.5" collapsed="1">
      <c r="C26" s="501"/>
      <c r="D26" s="160" t="s">
        <v>194</v>
      </c>
      <c r="E26" s="149" t="s">
        <v>195</v>
      </c>
      <c r="F26" s="150">
        <f t="shared" si="0"/>
        <v>1774.3149586572799</v>
      </c>
      <c r="G26" s="151">
        <v>478.76807865727994</v>
      </c>
      <c r="H26" s="151">
        <v>1295.5468799999999</v>
      </c>
      <c r="I26" s="499">
        <v>0</v>
      </c>
      <c r="J26" s="500"/>
    </row>
    <row r="27" spans="3:10" s="145" customFormat="1" ht="46.5">
      <c r="C27" s="501"/>
      <c r="D27" s="160" t="s">
        <v>196</v>
      </c>
      <c r="E27" s="161" t="s">
        <v>195</v>
      </c>
      <c r="F27" s="150">
        <f t="shared" si="0"/>
        <v>895.2346414137478</v>
      </c>
      <c r="G27" s="151">
        <v>431.953902321984</v>
      </c>
      <c r="H27" s="151">
        <v>463.28073909176379</v>
      </c>
      <c r="I27" s="499">
        <v>0</v>
      </c>
      <c r="J27" s="500"/>
    </row>
    <row r="28" spans="3:10" s="145" customFormat="1" ht="30.75">
      <c r="C28" s="501"/>
      <c r="D28" s="156" t="s">
        <v>197</v>
      </c>
      <c r="E28" s="147" t="s">
        <v>0</v>
      </c>
      <c r="F28" s="162">
        <f>F8/$F$8</f>
        <v>1</v>
      </c>
      <c r="G28" s="162">
        <f>G8/$F$8</f>
        <v>0.3449863036575716</v>
      </c>
      <c r="H28" s="162">
        <f>H8/$F$8</f>
        <v>0.13912935308209082</v>
      </c>
      <c r="I28" s="503">
        <f>I8/F8</f>
        <v>0.51588434326033761</v>
      </c>
      <c r="J28" s="504"/>
    </row>
    <row r="29" spans="3:10" s="145" customFormat="1" ht="39" hidden="1" outlineLevel="1">
      <c r="C29" s="501"/>
      <c r="D29" s="156"/>
      <c r="E29" s="147" t="s">
        <v>198</v>
      </c>
      <c r="F29" s="163"/>
      <c r="G29" s="163"/>
      <c r="H29" s="163"/>
      <c r="I29" s="163"/>
      <c r="J29" s="163"/>
    </row>
    <row r="30" spans="3:10" s="145" customFormat="1" ht="23.25" hidden="1" outlineLevel="1" collapsed="1">
      <c r="C30" s="501"/>
      <c r="D30" s="160"/>
      <c r="E30" s="502" t="s">
        <v>191</v>
      </c>
      <c r="F30" s="502"/>
      <c r="G30" s="502"/>
      <c r="H30" s="502"/>
      <c r="I30" s="502"/>
      <c r="J30" s="502"/>
    </row>
    <row r="31" spans="3:10" s="145" customFormat="1" ht="39" hidden="1" outlineLevel="1">
      <c r="C31" s="501"/>
      <c r="D31" s="156"/>
      <c r="E31" s="147" t="s">
        <v>199</v>
      </c>
      <c r="F31" s="163"/>
      <c r="G31" s="163"/>
      <c r="H31" s="163"/>
      <c r="I31" s="163"/>
      <c r="J31" s="163"/>
    </row>
    <row r="32" spans="3:10" s="145" customFormat="1" ht="39" hidden="1" outlineLevel="1">
      <c r="C32" s="501"/>
      <c r="D32" s="156"/>
      <c r="E32" s="147" t="s">
        <v>198</v>
      </c>
      <c r="F32" s="163"/>
      <c r="G32" s="163"/>
      <c r="H32" s="163"/>
      <c r="I32" s="163"/>
      <c r="J32" s="163"/>
    </row>
    <row r="33" spans="3:10" s="145" customFormat="1" ht="44.25" hidden="1" customHeight="1" outlineLevel="1">
      <c r="C33" s="147" t="s">
        <v>200</v>
      </c>
      <c r="D33" s="160"/>
      <c r="E33" s="147" t="s">
        <v>195</v>
      </c>
      <c r="F33" s="164"/>
      <c r="G33" s="164"/>
      <c r="H33" s="164"/>
      <c r="I33" s="164"/>
      <c r="J33" s="164"/>
    </row>
    <row r="34" spans="3:10" s="145" customFormat="1" ht="77.25" hidden="1" customHeight="1" outlineLevel="1" collapsed="1">
      <c r="C34" s="505"/>
      <c r="D34" s="506"/>
      <c r="E34" s="508"/>
      <c r="F34" s="153"/>
      <c r="G34" s="153"/>
      <c r="H34" s="153"/>
      <c r="I34" s="153"/>
      <c r="J34" s="153"/>
    </row>
    <row r="35" spans="3:10" s="145" customFormat="1" ht="50.25" hidden="1" customHeight="1" outlineLevel="1">
      <c r="C35" s="505"/>
      <c r="D35" s="507"/>
      <c r="E35" s="509"/>
      <c r="F35" s="165"/>
      <c r="G35" s="166"/>
      <c r="H35" s="166"/>
      <c r="I35" s="166"/>
      <c r="J35" s="166"/>
    </row>
    <row r="36" spans="3:10" s="145" customFormat="1" ht="55.5" hidden="1" customHeight="1" outlineLevel="1">
      <c r="C36" s="505"/>
      <c r="D36" s="160"/>
      <c r="E36" s="167"/>
      <c r="F36" s="162"/>
      <c r="G36" s="162"/>
      <c r="H36" s="162"/>
      <c r="I36" s="162"/>
      <c r="J36" s="162"/>
    </row>
    <row r="37" spans="3:10" s="145" customFormat="1" ht="32.25" hidden="1" customHeight="1" outlineLevel="1">
      <c r="C37" s="505" t="s">
        <v>201</v>
      </c>
      <c r="D37" s="160" t="s">
        <v>202</v>
      </c>
      <c r="E37" s="149" t="s">
        <v>203</v>
      </c>
      <c r="F37" s="168">
        <v>5323.5294117647063</v>
      </c>
      <c r="G37" s="168">
        <v>6388.2352941176478</v>
      </c>
      <c r="H37" s="168">
        <v>7703.7037037037044</v>
      </c>
      <c r="I37" s="168">
        <v>8111.1111111111104</v>
      </c>
      <c r="J37" s="168">
        <v>5538.4615384615381</v>
      </c>
    </row>
    <row r="38" spans="3:10" s="145" customFormat="1" ht="34.5" hidden="1" customHeight="1" outlineLevel="1">
      <c r="C38" s="505"/>
      <c r="D38" s="160" t="s">
        <v>204</v>
      </c>
      <c r="E38" s="149" t="s">
        <v>187</v>
      </c>
      <c r="F38" s="169">
        <v>2372.3703123</v>
      </c>
      <c r="G38" s="169">
        <v>1327.77059796</v>
      </c>
      <c r="H38" s="169">
        <v>7431.3554640000011</v>
      </c>
      <c r="I38" s="169">
        <v>8294.6692379999986</v>
      </c>
      <c r="J38" s="169">
        <v>9333.7179119999964</v>
      </c>
    </row>
    <row r="39" spans="3:10" s="145" customFormat="1" ht="30.75" hidden="1" outlineLevel="1">
      <c r="C39" s="505"/>
      <c r="D39" s="160" t="s">
        <v>205</v>
      </c>
      <c r="E39" s="149" t="s">
        <v>206</v>
      </c>
      <c r="F39" s="168" t="e">
        <f>#REF!</f>
        <v>#REF!</v>
      </c>
      <c r="G39" s="168" t="e">
        <f>#REF!</f>
        <v>#REF!</v>
      </c>
      <c r="H39" s="168" t="e">
        <f>#REF!</f>
        <v>#REF!</v>
      </c>
      <c r="I39" s="168" t="e">
        <f>#REF!</f>
        <v>#REF!</v>
      </c>
      <c r="J39" s="168" t="e">
        <f>#REF!</f>
        <v>#REF!</v>
      </c>
    </row>
    <row r="40" spans="3:10" s="145" customFormat="1" ht="30.75" hidden="1" outlineLevel="1">
      <c r="C40" s="505"/>
      <c r="D40" s="160" t="s">
        <v>4</v>
      </c>
      <c r="E40" s="149" t="s">
        <v>0</v>
      </c>
      <c r="F40" s="170" t="e">
        <f>#REF!</f>
        <v>#REF!</v>
      </c>
      <c r="G40" s="170" t="e">
        <f>#REF!</f>
        <v>#REF!</v>
      </c>
      <c r="H40" s="170" t="e">
        <f>#REF!</f>
        <v>#REF!</v>
      </c>
      <c r="I40" s="170" t="e">
        <f>#REF!</f>
        <v>#REF!</v>
      </c>
      <c r="J40" s="170" t="e">
        <f>#REF!</f>
        <v>#REF!</v>
      </c>
    </row>
    <row r="41" spans="3:10" s="145" customFormat="1" ht="30.75" collapsed="1">
      <c r="C41" s="505"/>
      <c r="D41" s="153" t="s">
        <v>22</v>
      </c>
      <c r="E41" s="149" t="s">
        <v>0</v>
      </c>
      <c r="F41" s="510">
        <v>0.3890685027766464</v>
      </c>
      <c r="G41" s="511"/>
      <c r="H41" s="511"/>
      <c r="I41" s="511"/>
      <c r="J41" s="512"/>
    </row>
    <row r="42" spans="3:10" s="145" customFormat="1" ht="30.75" hidden="1" outlineLevel="1">
      <c r="C42" s="505"/>
      <c r="D42" s="171" t="s">
        <v>207</v>
      </c>
      <c r="E42" s="149" t="s">
        <v>208</v>
      </c>
      <c r="F42" s="513">
        <v>6</v>
      </c>
      <c r="G42" s="514"/>
      <c r="H42" s="514"/>
      <c r="I42" s="514"/>
      <c r="J42" s="515"/>
    </row>
    <row r="43" spans="3:10" s="145" customFormat="1" ht="30.75" hidden="1" outlineLevel="1">
      <c r="C43" s="505"/>
      <c r="D43" s="171" t="s">
        <v>23</v>
      </c>
      <c r="E43" s="149"/>
      <c r="F43" s="516" t="e">
        <f>#REF!</f>
        <v>#REF!</v>
      </c>
      <c r="G43" s="517"/>
      <c r="H43" s="517"/>
      <c r="I43" s="517"/>
      <c r="J43" s="518"/>
    </row>
    <row r="44" spans="3:10" s="145" customFormat="1" ht="30.75" collapsed="1">
      <c r="C44" s="519" t="s">
        <v>209</v>
      </c>
      <c r="D44" s="171" t="s">
        <v>17</v>
      </c>
      <c r="E44" s="149" t="s">
        <v>0</v>
      </c>
      <c r="F44" s="510">
        <v>0.21821708791291172</v>
      </c>
      <c r="G44" s="511"/>
      <c r="H44" s="511"/>
      <c r="I44" s="511"/>
      <c r="J44" s="512"/>
    </row>
    <row r="45" spans="3:10" s="145" customFormat="1" ht="30.75">
      <c r="C45" s="519"/>
      <c r="D45" s="171" t="s">
        <v>18</v>
      </c>
      <c r="E45" s="149" t="str">
        <f>E38</f>
        <v>тыс. долл. США ‎</v>
      </c>
      <c r="F45" s="520">
        <v>43649.815969439966</v>
      </c>
      <c r="G45" s="521"/>
      <c r="H45" s="521"/>
      <c r="I45" s="521"/>
      <c r="J45" s="522"/>
    </row>
    <row r="46" spans="3:10" s="145" customFormat="1" ht="30.75">
      <c r="C46" s="519"/>
      <c r="D46" s="171" t="s">
        <v>19</v>
      </c>
      <c r="E46" s="149"/>
      <c r="F46" s="510">
        <v>3.1541887516170397</v>
      </c>
      <c r="G46" s="511"/>
      <c r="H46" s="511"/>
      <c r="I46" s="511"/>
      <c r="J46" s="512"/>
    </row>
    <row r="47" spans="3:10" s="145" customFormat="1" ht="30.75">
      <c r="C47" s="519"/>
      <c r="D47" s="171" t="s">
        <v>20</v>
      </c>
      <c r="E47" s="149" t="str">
        <f>E38</f>
        <v>тыс. долл. США ‎</v>
      </c>
      <c r="F47" s="523">
        <v>6.0767066855724883</v>
      </c>
      <c r="G47" s="524"/>
      <c r="H47" s="524"/>
      <c r="I47" s="524"/>
      <c r="J47" s="525"/>
    </row>
    <row r="48" spans="3:10" s="145" customFormat="1" ht="30.75">
      <c r="C48" s="519"/>
      <c r="D48" s="171" t="s">
        <v>210</v>
      </c>
      <c r="E48" s="149" t="str">
        <f>E47</f>
        <v>тыс. долл. США ‎</v>
      </c>
      <c r="F48" s="520" t="e">
        <f>SUM(#REF!)/1000</f>
        <v>#REF!</v>
      </c>
      <c r="G48" s="521"/>
      <c r="H48" s="521"/>
      <c r="I48" s="521"/>
      <c r="J48" s="522"/>
    </row>
    <row r="49" spans="3:10" s="145" customFormat="1" ht="30.75">
      <c r="C49" s="519"/>
      <c r="D49" s="171" t="s">
        <v>211</v>
      </c>
      <c r="E49" s="149" t="str">
        <f>E48</f>
        <v>тыс. долл. США ‎</v>
      </c>
      <c r="F49" s="520" t="e">
        <f>SUM(#REF!)/1000</f>
        <v>#REF!</v>
      </c>
      <c r="G49" s="521"/>
      <c r="H49" s="521"/>
      <c r="I49" s="521"/>
      <c r="J49" s="522"/>
    </row>
    <row r="50" spans="3:10" s="145" customFormat="1" ht="30.75">
      <c r="C50" s="509"/>
      <c r="D50" s="153" t="s">
        <v>212</v>
      </c>
      <c r="E50" s="149" t="s">
        <v>155</v>
      </c>
      <c r="F50" s="520">
        <v>860</v>
      </c>
      <c r="G50" s="521"/>
      <c r="H50" s="521"/>
      <c r="I50" s="521"/>
      <c r="J50" s="522"/>
    </row>
    <row r="51" spans="3:10" s="145" customFormat="1" ht="30.75" hidden="1" customHeight="1" outlineLevel="1">
      <c r="C51" s="147"/>
      <c r="D51" s="160"/>
      <c r="E51" s="172"/>
      <c r="F51" s="172"/>
      <c r="G51" s="172"/>
      <c r="H51" s="172"/>
      <c r="I51" s="172"/>
      <c r="J51" s="172"/>
    </row>
    <row r="52" spans="3:10" s="145" customFormat="1" ht="31.5" hidden="1" customHeight="1" outlineLevel="1">
      <c r="C52" s="147"/>
      <c r="D52" s="160"/>
    </row>
    <row r="53" spans="3:10" s="145" customFormat="1" ht="41.25" hidden="1" customHeight="1" outlineLevel="1">
      <c r="C53" s="147" t="s">
        <v>213</v>
      </c>
      <c r="D53" s="160"/>
      <c r="E53" s="147" t="s">
        <v>21</v>
      </c>
      <c r="F53" s="173" t="e">
        <f>#REF!</f>
        <v>#REF!</v>
      </c>
      <c r="G53" s="174"/>
      <c r="H53" s="174"/>
      <c r="I53" s="174"/>
      <c r="J53" s="175"/>
    </row>
    <row r="54" spans="3:10" s="145" customFormat="1" ht="46.5" hidden="1" outlineLevel="1">
      <c r="C54" s="508" t="s">
        <v>214</v>
      </c>
      <c r="D54" s="160" t="s">
        <v>215</v>
      </c>
      <c r="E54" s="147" t="s">
        <v>216</v>
      </c>
      <c r="F54" s="526">
        <v>12</v>
      </c>
      <c r="G54" s="526"/>
      <c r="H54" s="526"/>
      <c r="I54" s="526"/>
      <c r="J54" s="527"/>
    </row>
    <row r="55" spans="3:10" s="145" customFormat="1" ht="31.5" hidden="1" customHeight="1" outlineLevel="1">
      <c r="C55" s="519"/>
      <c r="D55" s="156" t="s">
        <v>190</v>
      </c>
      <c r="E55" s="147"/>
      <c r="F55" s="526"/>
      <c r="G55" s="526"/>
      <c r="H55" s="526"/>
      <c r="I55" s="526"/>
      <c r="J55" s="527"/>
    </row>
    <row r="56" spans="3:10" s="145" customFormat="1" ht="30.75" hidden="1" outlineLevel="1">
      <c r="C56" s="519"/>
      <c r="D56" s="156" t="s">
        <v>217</v>
      </c>
      <c r="E56" s="147" t="s">
        <v>216</v>
      </c>
      <c r="F56" s="526">
        <v>6</v>
      </c>
      <c r="G56" s="526"/>
      <c r="H56" s="526"/>
      <c r="I56" s="526"/>
      <c r="J56" s="527"/>
    </row>
    <row r="57" spans="3:10" ht="30.75" hidden="1" outlineLevel="1">
      <c r="C57" s="519"/>
      <c r="D57" s="156" t="s">
        <v>218</v>
      </c>
      <c r="E57" s="147" t="s">
        <v>216</v>
      </c>
      <c r="F57" s="526">
        <v>3</v>
      </c>
      <c r="G57" s="526"/>
      <c r="H57" s="526"/>
      <c r="I57" s="526"/>
      <c r="J57" s="527"/>
    </row>
    <row r="58" spans="3:10" ht="30.75" hidden="1" outlineLevel="1">
      <c r="C58" s="509"/>
      <c r="D58" s="156" t="s">
        <v>219</v>
      </c>
      <c r="E58" s="147" t="s">
        <v>216</v>
      </c>
      <c r="F58" s="526">
        <v>9</v>
      </c>
      <c r="G58" s="526"/>
      <c r="H58" s="526"/>
      <c r="I58" s="526"/>
      <c r="J58" s="527"/>
    </row>
    <row r="59" spans="3:10" ht="30.75" hidden="1" outlineLevel="1">
      <c r="C59" s="508" t="s">
        <v>220</v>
      </c>
      <c r="D59" s="153" t="s">
        <v>221</v>
      </c>
      <c r="E59" s="147"/>
      <c r="F59" s="528" t="s">
        <v>0</v>
      </c>
      <c r="G59" s="528"/>
      <c r="H59" s="529" t="s">
        <v>222</v>
      </c>
      <c r="I59" s="530"/>
      <c r="J59" s="531"/>
    </row>
    <row r="60" spans="3:10" ht="30.75" hidden="1" outlineLevel="1">
      <c r="C60" s="519"/>
      <c r="D60" s="156" t="s">
        <v>223</v>
      </c>
      <c r="E60" s="147"/>
      <c r="F60" s="532">
        <v>0.45</v>
      </c>
      <c r="G60" s="532"/>
      <c r="H60" s="533">
        <f>5490000</f>
        <v>5490000</v>
      </c>
      <c r="I60" s="533"/>
      <c r="J60" s="533"/>
    </row>
    <row r="61" spans="3:10" ht="30.75" hidden="1" outlineLevel="1">
      <c r="C61" s="519"/>
      <c r="D61" s="156" t="s">
        <v>224</v>
      </c>
      <c r="E61" s="147"/>
      <c r="F61" s="532">
        <v>0.15</v>
      </c>
      <c r="G61" s="532"/>
      <c r="H61" s="533">
        <f>1830000</f>
        <v>1830000</v>
      </c>
      <c r="I61" s="533"/>
      <c r="J61" s="533"/>
    </row>
    <row r="62" spans="3:10" ht="30.75" hidden="1" outlineLevel="1">
      <c r="C62" s="509"/>
      <c r="D62" s="156" t="s">
        <v>225</v>
      </c>
      <c r="E62" s="147"/>
      <c r="F62" s="532">
        <v>0.2</v>
      </c>
      <c r="G62" s="532"/>
      <c r="H62" s="533">
        <f>2440000</f>
        <v>2440000</v>
      </c>
      <c r="I62" s="533"/>
      <c r="J62" s="533"/>
    </row>
    <row r="63" spans="3:10" ht="30.75" hidden="1" outlineLevel="1">
      <c r="C63" s="147" t="s">
        <v>226</v>
      </c>
      <c r="D63" s="156" t="s">
        <v>227</v>
      </c>
      <c r="E63" s="147"/>
      <c r="F63" s="532">
        <v>0.1</v>
      </c>
      <c r="G63" s="532"/>
      <c r="H63" s="533">
        <f>1220000</f>
        <v>1220000</v>
      </c>
      <c r="I63" s="533"/>
      <c r="J63" s="533"/>
    </row>
    <row r="64" spans="3:10" ht="30.75" hidden="1" outlineLevel="1">
      <c r="C64" s="147" t="s">
        <v>228</v>
      </c>
      <c r="D64" s="156" t="s">
        <v>229</v>
      </c>
      <c r="E64" s="147"/>
      <c r="F64" s="532">
        <v>0.1</v>
      </c>
      <c r="G64" s="532"/>
      <c r="H64" s="533">
        <f>1220000</f>
        <v>1220000</v>
      </c>
      <c r="I64" s="533"/>
      <c r="J64" s="533"/>
    </row>
    <row r="65" spans="3:10" ht="30.75" hidden="1" outlineLevel="1">
      <c r="C65" s="147"/>
      <c r="D65" s="156"/>
      <c r="E65" s="528"/>
      <c r="F65" s="528"/>
      <c r="G65" s="528"/>
      <c r="H65" s="528"/>
      <c r="I65" s="528"/>
      <c r="J65" s="528"/>
    </row>
    <row r="66" spans="3:10" ht="8.25" customHeight="1" collapsed="1"/>
    <row r="68" spans="3:10">
      <c r="F68" s="176"/>
      <c r="G68" s="176"/>
      <c r="H68" s="176"/>
      <c r="I68" s="176"/>
      <c r="J68" s="176"/>
    </row>
  </sheetData>
  <mergeCells count="66">
    <mergeCell ref="F63:G63"/>
    <mergeCell ref="H63:J63"/>
    <mergeCell ref="F64:G64"/>
    <mergeCell ref="H64:J64"/>
    <mergeCell ref="E65:J65"/>
    <mergeCell ref="C59:C62"/>
    <mergeCell ref="F59:G59"/>
    <mergeCell ref="H59:J59"/>
    <mergeCell ref="F60:G60"/>
    <mergeCell ref="H60:J60"/>
    <mergeCell ref="F61:G61"/>
    <mergeCell ref="H61:J61"/>
    <mergeCell ref="F62:G62"/>
    <mergeCell ref="H62:J62"/>
    <mergeCell ref="C54:C58"/>
    <mergeCell ref="F54:J54"/>
    <mergeCell ref="F55:J55"/>
    <mergeCell ref="F56:J56"/>
    <mergeCell ref="F57:J57"/>
    <mergeCell ref="F58:J58"/>
    <mergeCell ref="C44:C50"/>
    <mergeCell ref="F44:J44"/>
    <mergeCell ref="F45:J45"/>
    <mergeCell ref="F46:J46"/>
    <mergeCell ref="F47:J47"/>
    <mergeCell ref="F48:J48"/>
    <mergeCell ref="F49:J49"/>
    <mergeCell ref="F50:J50"/>
    <mergeCell ref="I28:J28"/>
    <mergeCell ref="C34:C36"/>
    <mergeCell ref="D34:D35"/>
    <mergeCell ref="E34:E35"/>
    <mergeCell ref="C37:C43"/>
    <mergeCell ref="F41:J41"/>
    <mergeCell ref="F42:J42"/>
    <mergeCell ref="F43:J43"/>
    <mergeCell ref="I23:J23"/>
    <mergeCell ref="I24:J24"/>
    <mergeCell ref="I25:J25"/>
    <mergeCell ref="I26:J26"/>
    <mergeCell ref="I27:J27"/>
    <mergeCell ref="I8:J8"/>
    <mergeCell ref="C9:C32"/>
    <mergeCell ref="I9:J9"/>
    <mergeCell ref="E10:J10"/>
    <mergeCell ref="I11:J11"/>
    <mergeCell ref="I12:J12"/>
    <mergeCell ref="I13:J13"/>
    <mergeCell ref="I14:J14"/>
    <mergeCell ref="I15:J15"/>
    <mergeCell ref="I17:J17"/>
    <mergeCell ref="E30:J30"/>
    <mergeCell ref="I18:J18"/>
    <mergeCell ref="I19:J19"/>
    <mergeCell ref="I20:J20"/>
    <mergeCell ref="I21:J21"/>
    <mergeCell ref="I22:J22"/>
    <mergeCell ref="C2:J2"/>
    <mergeCell ref="C3:J3"/>
    <mergeCell ref="C5:C7"/>
    <mergeCell ref="D5:D7"/>
    <mergeCell ref="E5:E7"/>
    <mergeCell ref="F5:F7"/>
    <mergeCell ref="G5:J5"/>
    <mergeCell ref="G6:H6"/>
    <mergeCell ref="I6:J7"/>
  </mergeCells>
  <printOptions horizontalCentered="1" verticalCentered="1"/>
  <pageMargins left="0.59055118110236227" right="0.78740157480314965" top="0.59055118110236227" bottom="0.59055118110236227" header="0" footer="0"/>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B6E8-B0F9-4281-8DD8-21E968029A80}">
  <sheetPr>
    <pageSetUpPr fitToPage="1"/>
  </sheetPr>
  <dimension ref="A3:AL49"/>
  <sheetViews>
    <sheetView tabSelected="1" topLeftCell="X1" zoomScale="62" zoomScaleNormal="62" workbookViewId="0">
      <selection activeCell="AC45" sqref="AC45:AI45"/>
    </sheetView>
  </sheetViews>
  <sheetFormatPr defaultColWidth="11.5703125" defaultRowHeight="14.25" outlineLevelCol="1"/>
  <cols>
    <col min="1" max="1" width="19.7109375" style="367" hidden="1" customWidth="1" outlineLevel="1"/>
    <col min="2" max="6" width="11.5703125" style="367" hidden="1" customWidth="1" outlineLevel="1"/>
    <col min="7" max="7" width="14" style="367" hidden="1" customWidth="1" outlineLevel="1"/>
    <col min="8" max="11" width="11.5703125" style="367" hidden="1" customWidth="1" outlineLevel="1"/>
    <col min="12" max="12" width="11.5703125" style="367" hidden="1" customWidth="1" outlineLevel="1" collapsed="1"/>
    <col min="13" max="13" width="30.85546875" style="367" hidden="1" customWidth="1" outlineLevel="1"/>
    <col min="14" max="14" width="17.5703125" style="367" hidden="1" customWidth="1" outlineLevel="1"/>
    <col min="15" max="16" width="0" style="367" hidden="1" customWidth="1" outlineLevel="1"/>
    <col min="17" max="17" width="20.5703125" style="367" hidden="1" customWidth="1" outlineLevel="1"/>
    <col min="18" max="18" width="12.28515625" style="367" hidden="1" customWidth="1" outlineLevel="1"/>
    <col min="19" max="19" width="13.42578125" style="367" hidden="1" customWidth="1" outlineLevel="1"/>
    <col min="20" max="20" width="18.42578125" style="367" hidden="1" customWidth="1" outlineLevel="1"/>
    <col min="21" max="21" width="11.85546875" style="367" hidden="1" customWidth="1" outlineLevel="1"/>
    <col min="22" max="22" width="11.28515625" style="367" hidden="1" customWidth="1" outlineLevel="1"/>
    <col min="23" max="23" width="11.140625" style="367" hidden="1" customWidth="1" outlineLevel="1"/>
    <col min="24" max="24" width="7.28515625" style="367" customWidth="1" collapsed="1"/>
    <col min="25" max="25" width="46.140625" style="367" customWidth="1"/>
    <col min="26" max="26" width="17.42578125" style="367" customWidth="1"/>
    <col min="27" max="27" width="11.5703125" style="367"/>
    <col min="28" max="28" width="14.5703125" style="367" customWidth="1"/>
    <col min="29" max="29" width="17.140625" style="367" customWidth="1"/>
    <col min="30" max="30" width="13.28515625" style="367" customWidth="1"/>
    <col min="31" max="31" width="17" style="367" customWidth="1"/>
    <col min="32" max="32" width="14.5703125" style="367" customWidth="1"/>
    <col min="33" max="33" width="13.5703125" style="367" customWidth="1"/>
    <col min="34" max="34" width="11.28515625" style="367" customWidth="1"/>
    <col min="35" max="35" width="14.7109375" style="367" customWidth="1"/>
    <col min="36" max="37" width="11.5703125" style="367"/>
    <col min="38" max="38" width="15.42578125" style="367" customWidth="1"/>
    <col min="39" max="16384" width="11.5703125" style="367"/>
  </cols>
  <sheetData>
    <row r="3" spans="1:35" ht="18">
      <c r="J3" s="367" t="s">
        <v>478</v>
      </c>
      <c r="K3" s="367" t="s">
        <v>479</v>
      </c>
      <c r="V3" s="368" t="s">
        <v>480</v>
      </c>
      <c r="W3" s="368" t="s">
        <v>481</v>
      </c>
      <c r="Y3" s="369"/>
      <c r="Z3" s="369"/>
      <c r="AA3" s="369"/>
      <c r="AB3" s="369"/>
      <c r="AC3" s="369"/>
      <c r="AD3" s="369"/>
      <c r="AE3" s="369"/>
      <c r="AF3" s="369"/>
      <c r="AG3" s="369"/>
      <c r="AH3" s="370" t="s">
        <v>482</v>
      </c>
      <c r="AI3" s="370" t="s">
        <v>483</v>
      </c>
    </row>
    <row r="4" spans="1:35" ht="18">
      <c r="E4" s="371" t="s">
        <v>484</v>
      </c>
      <c r="F4" s="372"/>
      <c r="G4" s="372"/>
      <c r="J4" s="367" t="s">
        <v>485</v>
      </c>
      <c r="K4" s="373">
        <v>44053</v>
      </c>
      <c r="L4" s="373"/>
      <c r="P4" s="371" t="s">
        <v>484</v>
      </c>
      <c r="Q4" s="372"/>
      <c r="R4" s="372"/>
      <c r="V4" s="367" t="s">
        <v>485</v>
      </c>
      <c r="W4" s="373">
        <v>44053</v>
      </c>
      <c r="Y4" s="369"/>
      <c r="Z4" s="369"/>
      <c r="AA4" s="369"/>
      <c r="AB4" s="374"/>
      <c r="AC4" s="369"/>
      <c r="AD4" s="369"/>
      <c r="AE4" s="369"/>
      <c r="AF4" s="369"/>
      <c r="AG4" s="369"/>
      <c r="AH4" s="375" t="s">
        <v>487</v>
      </c>
      <c r="AI4" s="376">
        <v>44365</v>
      </c>
    </row>
    <row r="5" spans="1:35" ht="18">
      <c r="E5" s="371"/>
      <c r="F5" s="372"/>
      <c r="G5" s="372"/>
      <c r="P5" s="371"/>
      <c r="Q5" s="372"/>
      <c r="R5" s="372"/>
      <c r="Y5" s="369"/>
      <c r="Z5" s="369"/>
      <c r="AA5" s="369"/>
      <c r="AB5" s="374"/>
      <c r="AC5" s="369"/>
      <c r="AD5" s="369"/>
      <c r="AE5" s="369"/>
      <c r="AF5" s="369"/>
      <c r="AG5" s="369"/>
      <c r="AH5" s="369"/>
      <c r="AI5" s="369"/>
    </row>
    <row r="6" spans="1:35" ht="19.5" customHeight="1">
      <c r="A6" s="544" t="s">
        <v>488</v>
      </c>
      <c r="B6" s="544"/>
      <c r="C6" s="544"/>
      <c r="D6" s="544"/>
      <c r="E6" s="544"/>
      <c r="F6" s="544"/>
      <c r="G6" s="544"/>
      <c r="H6" s="544"/>
      <c r="I6" s="544"/>
      <c r="J6" s="544"/>
      <c r="K6" s="544"/>
      <c r="L6" s="377"/>
      <c r="M6" s="545" t="s">
        <v>488</v>
      </c>
      <c r="N6" s="545"/>
      <c r="O6" s="545"/>
      <c r="P6" s="545"/>
      <c r="Q6" s="545"/>
      <c r="R6" s="545"/>
      <c r="S6" s="545"/>
      <c r="T6" s="545"/>
      <c r="U6" s="545"/>
      <c r="V6" s="545"/>
      <c r="W6" s="545"/>
      <c r="Y6" s="546" t="s">
        <v>489</v>
      </c>
      <c r="Z6" s="546"/>
      <c r="AA6" s="546"/>
      <c r="AB6" s="546"/>
      <c r="AC6" s="546"/>
      <c r="AD6" s="546"/>
      <c r="AE6" s="546"/>
      <c r="AF6" s="546"/>
      <c r="AG6" s="546"/>
      <c r="AH6" s="546"/>
      <c r="AI6" s="546"/>
    </row>
    <row r="7" spans="1:35" ht="30.75" thickBot="1">
      <c r="A7" s="544" t="s">
        <v>655</v>
      </c>
      <c r="B7" s="544"/>
      <c r="C7" s="544"/>
      <c r="D7" s="544"/>
      <c r="E7" s="544"/>
      <c r="F7" s="544"/>
      <c r="G7" s="544"/>
      <c r="H7" s="544"/>
      <c r="I7" s="544"/>
      <c r="J7" s="544"/>
      <c r="K7" s="544"/>
      <c r="L7" s="377"/>
      <c r="M7" s="544" t="s">
        <v>655</v>
      </c>
      <c r="N7" s="544"/>
      <c r="O7" s="544"/>
      <c r="P7" s="544"/>
      <c r="Q7" s="544"/>
      <c r="R7" s="544"/>
      <c r="S7" s="544"/>
      <c r="T7" s="544"/>
      <c r="U7" s="544"/>
      <c r="V7" s="544"/>
      <c r="W7" s="544"/>
      <c r="Y7" s="547" t="s">
        <v>706</v>
      </c>
      <c r="Z7" s="547"/>
      <c r="AA7" s="547"/>
      <c r="AB7" s="547"/>
      <c r="AC7" s="547"/>
      <c r="AD7" s="547"/>
      <c r="AE7" s="547"/>
      <c r="AF7" s="547"/>
      <c r="AG7" s="547"/>
      <c r="AH7" s="547"/>
      <c r="AI7" s="547"/>
    </row>
    <row r="8" spans="1:35" ht="101.25" customHeight="1" thickTop="1" thickBot="1">
      <c r="A8" s="378" t="s">
        <v>490</v>
      </c>
      <c r="B8" s="534" t="s">
        <v>491</v>
      </c>
      <c r="C8" s="535"/>
      <c r="D8" s="535"/>
      <c r="E8" s="535"/>
      <c r="F8" s="535"/>
      <c r="G8" s="535"/>
      <c r="H8" s="535"/>
      <c r="I8" s="535"/>
      <c r="J8" s="535"/>
      <c r="K8" s="536"/>
      <c r="L8" s="379"/>
      <c r="M8" s="380" t="s">
        <v>490</v>
      </c>
      <c r="N8" s="537" t="s">
        <v>655</v>
      </c>
      <c r="O8" s="538"/>
      <c r="P8" s="538"/>
      <c r="Q8" s="538"/>
      <c r="R8" s="538"/>
      <c r="S8" s="538"/>
      <c r="T8" s="538"/>
      <c r="U8" s="538"/>
      <c r="V8" s="538"/>
      <c r="W8" s="539"/>
      <c r="Y8" s="381" t="s">
        <v>492</v>
      </c>
      <c r="Z8" s="540" t="s">
        <v>706</v>
      </c>
      <c r="AA8" s="540"/>
      <c r="AB8" s="540"/>
      <c r="AC8" s="540"/>
      <c r="AD8" s="540"/>
      <c r="AE8" s="540"/>
      <c r="AF8" s="540"/>
      <c r="AG8" s="540"/>
      <c r="AH8" s="540"/>
      <c r="AI8" s="540"/>
    </row>
    <row r="9" spans="1:35" ht="52.5" customHeight="1" thickTop="1" thickBot="1">
      <c r="A9" s="382" t="s">
        <v>493</v>
      </c>
      <c r="B9" s="541" t="s">
        <v>494</v>
      </c>
      <c r="C9" s="542"/>
      <c r="D9" s="542"/>
      <c r="E9" s="542"/>
      <c r="F9" s="542"/>
      <c r="G9" s="542"/>
      <c r="H9" s="542"/>
      <c r="I9" s="542"/>
      <c r="J9" s="542"/>
      <c r="K9" s="543"/>
      <c r="L9" s="379"/>
      <c r="M9" s="380" t="s">
        <v>493</v>
      </c>
      <c r="N9" s="537" t="s">
        <v>656</v>
      </c>
      <c r="O9" s="538"/>
      <c r="P9" s="538"/>
      <c r="Q9" s="538"/>
      <c r="R9" s="538"/>
      <c r="S9" s="538"/>
      <c r="T9" s="538"/>
      <c r="U9" s="538"/>
      <c r="V9" s="538"/>
      <c r="W9" s="539"/>
      <c r="Y9" s="381" t="s">
        <v>495</v>
      </c>
      <c r="Z9" s="540" t="s">
        <v>660</v>
      </c>
      <c r="AA9" s="540"/>
      <c r="AB9" s="540"/>
      <c r="AC9" s="540"/>
      <c r="AD9" s="540"/>
      <c r="AE9" s="540"/>
      <c r="AF9" s="540"/>
      <c r="AG9" s="540"/>
      <c r="AH9" s="540"/>
      <c r="AI9" s="540"/>
    </row>
    <row r="10" spans="1:35" ht="34.5" customHeight="1" thickTop="1" thickBot="1">
      <c r="A10" s="382" t="s">
        <v>496</v>
      </c>
      <c r="B10" s="541" t="s">
        <v>497</v>
      </c>
      <c r="C10" s="542"/>
      <c r="D10" s="542"/>
      <c r="E10" s="542" t="s">
        <v>498</v>
      </c>
      <c r="F10" s="542"/>
      <c r="G10" s="542"/>
      <c r="H10" s="542" t="s">
        <v>499</v>
      </c>
      <c r="I10" s="542"/>
      <c r="J10" s="542"/>
      <c r="K10" s="543"/>
      <c r="L10" s="379"/>
      <c r="M10" s="380" t="s">
        <v>496</v>
      </c>
      <c r="N10" s="537" t="s">
        <v>657</v>
      </c>
      <c r="O10" s="538"/>
      <c r="P10" s="538"/>
      <c r="Q10" s="538"/>
      <c r="R10" s="539"/>
      <c r="S10" s="537" t="s">
        <v>500</v>
      </c>
      <c r="T10" s="538"/>
      <c r="U10" s="539"/>
      <c r="V10" s="383" t="s">
        <v>501</v>
      </c>
      <c r="W10" s="383" t="s">
        <v>502</v>
      </c>
      <c r="Y10" s="381" t="s">
        <v>503</v>
      </c>
      <c r="Z10" s="554" t="s">
        <v>707</v>
      </c>
      <c r="AA10" s="555"/>
      <c r="AB10" s="555"/>
      <c r="AC10" s="555"/>
      <c r="AD10" s="555"/>
      <c r="AE10" s="555"/>
      <c r="AF10" s="555"/>
      <c r="AG10" s="555"/>
      <c r="AH10" s="555"/>
      <c r="AI10" s="556"/>
    </row>
    <row r="11" spans="1:35" ht="36" customHeight="1" thickTop="1" thickBot="1">
      <c r="A11" s="382" t="s">
        <v>504</v>
      </c>
      <c r="B11" s="541"/>
      <c r="C11" s="542"/>
      <c r="D11" s="542"/>
      <c r="E11" s="542"/>
      <c r="F11" s="542"/>
      <c r="G11" s="542"/>
      <c r="H11" s="542"/>
      <c r="I11" s="542"/>
      <c r="J11" s="542"/>
      <c r="K11" s="543"/>
      <c r="L11" s="379"/>
      <c r="M11" s="380" t="s">
        <v>504</v>
      </c>
      <c r="N11" s="384" t="s">
        <v>505</v>
      </c>
      <c r="O11" s="548">
        <v>64800</v>
      </c>
      <c r="P11" s="549"/>
      <c r="Q11" s="549"/>
      <c r="R11" s="549"/>
      <c r="S11" s="549"/>
      <c r="T11" s="549"/>
      <c r="U11" s="549"/>
      <c r="V11" s="549"/>
      <c r="W11" s="550"/>
      <c r="Y11" s="381" t="s">
        <v>506</v>
      </c>
      <c r="Z11" s="385" t="s">
        <v>714</v>
      </c>
      <c r="AA11" s="551">
        <v>360000</v>
      </c>
      <c r="AB11" s="552"/>
      <c r="AC11" s="552"/>
      <c r="AD11" s="552"/>
      <c r="AE11" s="552"/>
      <c r="AF11" s="552"/>
      <c r="AG11" s="552"/>
      <c r="AH11" s="552"/>
      <c r="AI11" s="553"/>
    </row>
    <row r="12" spans="1:35" ht="40.5" customHeight="1" thickTop="1" thickBot="1">
      <c r="A12" s="382" t="s">
        <v>507</v>
      </c>
      <c r="B12" s="541" t="s">
        <v>508</v>
      </c>
      <c r="C12" s="542"/>
      <c r="D12" s="542"/>
      <c r="E12" s="542"/>
      <c r="F12" s="542"/>
      <c r="G12" s="542"/>
      <c r="H12" s="542"/>
      <c r="I12" s="542"/>
      <c r="J12" s="542"/>
      <c r="K12" s="543"/>
      <c r="L12" s="379"/>
      <c r="M12" s="380" t="s">
        <v>507</v>
      </c>
      <c r="N12" s="384" t="s">
        <v>126</v>
      </c>
      <c r="O12" s="548">
        <v>3263889</v>
      </c>
      <c r="P12" s="549"/>
      <c r="Q12" s="549"/>
      <c r="R12" s="549"/>
      <c r="S12" s="549"/>
      <c r="T12" s="549"/>
      <c r="U12" s="549"/>
      <c r="V12" s="549"/>
      <c r="W12" s="550"/>
      <c r="Y12" s="381" t="s">
        <v>509</v>
      </c>
      <c r="Z12" s="385" t="s">
        <v>126</v>
      </c>
      <c r="AA12" s="551">
        <v>14229910</v>
      </c>
      <c r="AB12" s="552"/>
      <c r="AC12" s="552"/>
      <c r="AD12" s="552"/>
      <c r="AE12" s="552"/>
      <c r="AF12" s="552"/>
      <c r="AG12" s="552"/>
      <c r="AH12" s="552"/>
      <c r="AI12" s="553"/>
    </row>
    <row r="13" spans="1:35" ht="36" customHeight="1" thickTop="1" thickBot="1">
      <c r="A13" s="382" t="s">
        <v>510</v>
      </c>
      <c r="B13" s="541" t="s">
        <v>511</v>
      </c>
      <c r="C13" s="542"/>
      <c r="D13" s="542"/>
      <c r="E13" s="542"/>
      <c r="F13" s="542"/>
      <c r="G13" s="542"/>
      <c r="H13" s="542"/>
      <c r="I13" s="542"/>
      <c r="J13" s="542"/>
      <c r="K13" s="543"/>
      <c r="L13" s="379"/>
      <c r="M13" s="380" t="s">
        <v>510</v>
      </c>
      <c r="N13" s="384" t="s">
        <v>512</v>
      </c>
      <c r="O13" s="548">
        <v>70.68500707069515</v>
      </c>
      <c r="P13" s="549"/>
      <c r="Q13" s="549"/>
      <c r="R13" s="549"/>
      <c r="S13" s="549"/>
      <c r="T13" s="549"/>
      <c r="U13" s="549"/>
      <c r="V13" s="549"/>
      <c r="W13" s="550"/>
      <c r="Y13" s="381" t="s">
        <v>513</v>
      </c>
      <c r="Z13" s="385" t="s">
        <v>514</v>
      </c>
      <c r="AA13" s="551">
        <v>50</v>
      </c>
      <c r="AB13" s="552"/>
      <c r="AC13" s="552"/>
      <c r="AD13" s="552"/>
      <c r="AE13" s="552"/>
      <c r="AF13" s="552"/>
      <c r="AG13" s="552"/>
      <c r="AH13" s="552"/>
      <c r="AI13" s="553"/>
    </row>
    <row r="14" spans="1:35" ht="26.25" customHeight="1" thickTop="1" thickBot="1">
      <c r="A14" s="557" t="s">
        <v>515</v>
      </c>
      <c r="B14" s="541" t="s">
        <v>516</v>
      </c>
      <c r="C14" s="542"/>
      <c r="D14" s="542"/>
      <c r="E14" s="542"/>
      <c r="F14" s="542"/>
      <c r="G14" s="542"/>
      <c r="H14" s="542"/>
      <c r="I14" s="542"/>
      <c r="J14" s="542"/>
      <c r="K14" s="543"/>
      <c r="L14" s="379"/>
      <c r="M14" s="560" t="s">
        <v>515</v>
      </c>
      <c r="N14" s="563" t="s">
        <v>517</v>
      </c>
      <c r="O14" s="564"/>
      <c r="P14" s="565"/>
      <c r="Q14" s="566" t="s">
        <v>501</v>
      </c>
      <c r="R14" s="567"/>
      <c r="S14" s="568"/>
      <c r="T14" s="566" t="s">
        <v>502</v>
      </c>
      <c r="U14" s="567"/>
      <c r="V14" s="567"/>
      <c r="W14" s="569"/>
      <c r="Y14" s="570" t="s">
        <v>518</v>
      </c>
      <c r="Z14" s="582" t="s">
        <v>519</v>
      </c>
      <c r="AA14" s="583"/>
      <c r="AB14" s="583"/>
      <c r="AC14" s="584" t="s">
        <v>520</v>
      </c>
      <c r="AD14" s="584"/>
      <c r="AE14" s="584"/>
      <c r="AF14" s="584"/>
      <c r="AG14" s="584"/>
      <c r="AH14" s="584"/>
      <c r="AI14" s="585"/>
    </row>
    <row r="15" spans="1:35" ht="24.75" customHeight="1" thickTop="1" thickBot="1">
      <c r="A15" s="558"/>
      <c r="B15" s="386"/>
      <c r="C15" s="387"/>
      <c r="D15" s="387"/>
      <c r="E15" s="387"/>
      <c r="F15" s="387"/>
      <c r="G15" s="387"/>
      <c r="H15" s="387"/>
      <c r="I15" s="387"/>
      <c r="J15" s="387"/>
      <c r="K15" s="388"/>
      <c r="L15" s="379"/>
      <c r="M15" s="561"/>
      <c r="N15" s="586" t="s">
        <v>521</v>
      </c>
      <c r="O15" s="587"/>
      <c r="P15" s="541"/>
      <c r="Q15" s="588" t="s">
        <v>501</v>
      </c>
      <c r="R15" s="589"/>
      <c r="S15" s="590"/>
      <c r="T15" s="588" t="s">
        <v>502</v>
      </c>
      <c r="U15" s="589"/>
      <c r="V15" s="589"/>
      <c r="W15" s="591"/>
      <c r="Y15" s="570"/>
      <c r="Z15" s="592" t="s">
        <v>522</v>
      </c>
      <c r="AA15" s="593"/>
      <c r="AB15" s="593"/>
      <c r="AC15" s="594" t="s">
        <v>520</v>
      </c>
      <c r="AD15" s="594"/>
      <c r="AE15" s="594"/>
      <c r="AF15" s="594"/>
      <c r="AG15" s="594"/>
      <c r="AH15" s="594"/>
      <c r="AI15" s="595"/>
    </row>
    <row r="16" spans="1:35" ht="26.25" customHeight="1" thickTop="1" thickBot="1">
      <c r="A16" s="559"/>
      <c r="B16" s="386"/>
      <c r="C16" s="387"/>
      <c r="D16" s="387"/>
      <c r="E16" s="387"/>
      <c r="F16" s="387"/>
      <c r="G16" s="387"/>
      <c r="H16" s="387"/>
      <c r="I16" s="387"/>
      <c r="J16" s="387"/>
      <c r="K16" s="388"/>
      <c r="L16" s="379"/>
      <c r="M16" s="562"/>
      <c r="N16" s="571" t="s">
        <v>524</v>
      </c>
      <c r="O16" s="572"/>
      <c r="P16" s="573"/>
      <c r="Q16" s="574" t="s">
        <v>501</v>
      </c>
      <c r="R16" s="575"/>
      <c r="S16" s="576"/>
      <c r="T16" s="574" t="s">
        <v>502</v>
      </c>
      <c r="U16" s="575"/>
      <c r="V16" s="575"/>
      <c r="W16" s="577"/>
      <c r="Y16" s="570"/>
      <c r="Z16" s="578" t="s">
        <v>525</v>
      </c>
      <c r="AA16" s="579"/>
      <c r="AB16" s="579"/>
      <c r="AC16" s="580"/>
      <c r="AD16" s="580"/>
      <c r="AE16" s="580"/>
      <c r="AF16" s="580" t="s">
        <v>523</v>
      </c>
      <c r="AG16" s="580"/>
      <c r="AH16" s="580"/>
      <c r="AI16" s="581"/>
    </row>
    <row r="17" spans="1:36" ht="39.75" customHeight="1" thickTop="1" thickBot="1">
      <c r="A17" s="382" t="s">
        <v>526</v>
      </c>
      <c r="B17" s="541" t="s">
        <v>527</v>
      </c>
      <c r="C17" s="542"/>
      <c r="D17" s="542"/>
      <c r="E17" s="542"/>
      <c r="F17" s="542"/>
      <c r="G17" s="542"/>
      <c r="H17" s="542"/>
      <c r="I17" s="542"/>
      <c r="J17" s="542"/>
      <c r="K17" s="543"/>
      <c r="L17" s="379"/>
      <c r="M17" s="560" t="s">
        <v>528</v>
      </c>
      <c r="N17" s="563" t="s">
        <v>529</v>
      </c>
      <c r="O17" s="564"/>
      <c r="P17" s="565"/>
      <c r="Q17" s="566" t="s">
        <v>501</v>
      </c>
      <c r="R17" s="567"/>
      <c r="S17" s="568"/>
      <c r="T17" s="566" t="s">
        <v>502</v>
      </c>
      <c r="U17" s="567"/>
      <c r="V17" s="567"/>
      <c r="W17" s="569"/>
      <c r="Y17" s="570" t="s">
        <v>530</v>
      </c>
      <c r="Z17" s="582" t="s">
        <v>531</v>
      </c>
      <c r="AA17" s="583"/>
      <c r="AB17" s="583"/>
      <c r="AC17" s="584" t="s">
        <v>520</v>
      </c>
      <c r="AD17" s="584"/>
      <c r="AE17" s="584"/>
      <c r="AF17" s="584"/>
      <c r="AG17" s="584"/>
      <c r="AH17" s="584"/>
      <c r="AI17" s="585"/>
    </row>
    <row r="18" spans="1:36" ht="27" customHeight="1" thickTop="1" thickBot="1">
      <c r="A18" s="382"/>
      <c r="B18" s="386"/>
      <c r="C18" s="387"/>
      <c r="D18" s="387"/>
      <c r="E18" s="387"/>
      <c r="F18" s="387"/>
      <c r="G18" s="387"/>
      <c r="H18" s="387"/>
      <c r="I18" s="387"/>
      <c r="J18" s="387"/>
      <c r="K18" s="388"/>
      <c r="L18" s="379"/>
      <c r="M18" s="561"/>
      <c r="N18" s="586" t="s">
        <v>532</v>
      </c>
      <c r="O18" s="587"/>
      <c r="P18" s="541"/>
      <c r="Q18" s="588"/>
      <c r="R18" s="589"/>
      <c r="S18" s="590"/>
      <c r="T18" s="588" t="s">
        <v>502</v>
      </c>
      <c r="U18" s="589"/>
      <c r="V18" s="589"/>
      <c r="W18" s="591"/>
      <c r="Y18" s="570"/>
      <c r="Z18" s="592" t="s">
        <v>533</v>
      </c>
      <c r="AA18" s="593"/>
      <c r="AB18" s="593"/>
      <c r="AC18" s="594"/>
      <c r="AD18" s="594"/>
      <c r="AE18" s="594"/>
      <c r="AF18" s="594" t="s">
        <v>523</v>
      </c>
      <c r="AG18" s="594"/>
      <c r="AH18" s="594"/>
      <c r="AI18" s="595"/>
    </row>
    <row r="19" spans="1:36" ht="21.75" customHeight="1" thickTop="1" thickBot="1">
      <c r="A19" s="382"/>
      <c r="B19" s="386"/>
      <c r="C19" s="387"/>
      <c r="D19" s="387"/>
      <c r="E19" s="387"/>
      <c r="F19" s="387"/>
      <c r="G19" s="387"/>
      <c r="H19" s="387"/>
      <c r="I19" s="387"/>
      <c r="J19" s="387"/>
      <c r="K19" s="388"/>
      <c r="L19" s="379"/>
      <c r="M19" s="561"/>
      <c r="N19" s="586" t="s">
        <v>534</v>
      </c>
      <c r="O19" s="587"/>
      <c r="P19" s="541"/>
      <c r="Q19" s="588"/>
      <c r="R19" s="589"/>
      <c r="S19" s="590"/>
      <c r="T19" s="588" t="s">
        <v>502</v>
      </c>
      <c r="U19" s="589"/>
      <c r="V19" s="589"/>
      <c r="W19" s="591"/>
      <c r="Y19" s="570"/>
      <c r="Z19" s="592" t="s">
        <v>535</v>
      </c>
      <c r="AA19" s="593"/>
      <c r="AB19" s="593"/>
      <c r="AC19" s="594"/>
      <c r="AD19" s="594"/>
      <c r="AE19" s="594"/>
      <c r="AF19" s="594" t="s">
        <v>523</v>
      </c>
      <c r="AG19" s="594"/>
      <c r="AH19" s="594"/>
      <c r="AI19" s="595"/>
    </row>
    <row r="20" spans="1:36" ht="29.25" customHeight="1" thickTop="1" thickBot="1">
      <c r="A20" s="382"/>
      <c r="B20" s="386"/>
      <c r="C20" s="387"/>
      <c r="D20" s="387"/>
      <c r="E20" s="387"/>
      <c r="F20" s="387"/>
      <c r="G20" s="387"/>
      <c r="H20" s="387"/>
      <c r="I20" s="387"/>
      <c r="J20" s="387"/>
      <c r="K20" s="388"/>
      <c r="L20" s="379"/>
      <c r="M20" s="562"/>
      <c r="N20" s="571" t="s">
        <v>536</v>
      </c>
      <c r="O20" s="572"/>
      <c r="P20" s="573"/>
      <c r="Q20" s="574"/>
      <c r="R20" s="575"/>
      <c r="S20" s="576"/>
      <c r="T20" s="574" t="s">
        <v>502</v>
      </c>
      <c r="U20" s="575"/>
      <c r="V20" s="575"/>
      <c r="W20" s="577"/>
      <c r="Y20" s="570"/>
      <c r="Z20" s="578" t="s">
        <v>537</v>
      </c>
      <c r="AA20" s="579"/>
      <c r="AB20" s="579"/>
      <c r="AC20" s="580"/>
      <c r="AD20" s="580"/>
      <c r="AE20" s="580"/>
      <c r="AF20" s="580" t="s">
        <v>523</v>
      </c>
      <c r="AG20" s="580"/>
      <c r="AH20" s="580"/>
      <c r="AI20" s="581"/>
    </row>
    <row r="21" spans="1:36" ht="30" customHeight="1" thickTop="1" thickBot="1">
      <c r="A21" s="382" t="s">
        <v>538</v>
      </c>
      <c r="B21" s="541" t="s">
        <v>539</v>
      </c>
      <c r="C21" s="542"/>
      <c r="D21" s="542"/>
      <c r="E21" s="542"/>
      <c r="F21" s="542"/>
      <c r="G21" s="542"/>
      <c r="H21" s="542"/>
      <c r="I21" s="542"/>
      <c r="J21" s="542"/>
      <c r="K21" s="543"/>
      <c r="L21" s="379"/>
      <c r="M21" s="560" t="s">
        <v>540</v>
      </c>
      <c r="N21" s="563" t="s">
        <v>541</v>
      </c>
      <c r="O21" s="564"/>
      <c r="P21" s="565"/>
      <c r="Q21" s="566" t="s">
        <v>501</v>
      </c>
      <c r="R21" s="567"/>
      <c r="S21" s="568"/>
      <c r="T21" s="566" t="s">
        <v>502</v>
      </c>
      <c r="U21" s="567"/>
      <c r="V21" s="567"/>
      <c r="W21" s="569"/>
      <c r="Y21" s="570" t="s">
        <v>542</v>
      </c>
      <c r="Z21" s="598" t="s">
        <v>523</v>
      </c>
      <c r="AA21" s="599"/>
      <c r="AB21" s="599"/>
      <c r="AC21" s="599"/>
      <c r="AD21" s="599"/>
      <c r="AE21" s="599"/>
      <c r="AF21" s="599"/>
      <c r="AG21" s="599"/>
      <c r="AH21" s="599"/>
      <c r="AI21" s="600"/>
    </row>
    <row r="22" spans="1:36" ht="45" customHeight="1" thickTop="1" thickBot="1">
      <c r="A22" s="382"/>
      <c r="B22" s="386"/>
      <c r="C22" s="387"/>
      <c r="D22" s="387"/>
      <c r="E22" s="387"/>
      <c r="F22" s="387"/>
      <c r="G22" s="387"/>
      <c r="H22" s="387"/>
      <c r="I22" s="387"/>
      <c r="J22" s="387"/>
      <c r="K22" s="388"/>
      <c r="L22" s="379"/>
      <c r="M22" s="562"/>
      <c r="N22" s="571" t="s">
        <v>543</v>
      </c>
      <c r="O22" s="572"/>
      <c r="P22" s="573"/>
      <c r="Q22" s="604" t="s">
        <v>544</v>
      </c>
      <c r="R22" s="605"/>
      <c r="S22" s="605"/>
      <c r="T22" s="605"/>
      <c r="U22" s="605"/>
      <c r="V22" s="605"/>
      <c r="W22" s="606"/>
      <c r="Y22" s="570"/>
      <c r="Z22" s="610" t="s">
        <v>545</v>
      </c>
      <c r="AA22" s="611"/>
      <c r="AB22" s="611"/>
      <c r="AC22" s="611"/>
      <c r="AD22" s="611"/>
      <c r="AE22" s="611"/>
      <c r="AF22" s="611"/>
      <c r="AG22" s="611"/>
      <c r="AH22" s="611"/>
      <c r="AI22" s="612"/>
    </row>
    <row r="23" spans="1:36" ht="28.5" customHeight="1" thickTop="1" thickBot="1">
      <c r="A23" s="596" t="s">
        <v>546</v>
      </c>
      <c r="B23" s="541" t="s">
        <v>498</v>
      </c>
      <c r="C23" s="542"/>
      <c r="D23" s="542"/>
      <c r="E23" s="542"/>
      <c r="F23" s="542"/>
      <c r="G23" s="542" t="s">
        <v>499</v>
      </c>
      <c r="H23" s="542"/>
      <c r="I23" s="542"/>
      <c r="J23" s="542"/>
      <c r="K23" s="543"/>
      <c r="L23" s="379"/>
      <c r="M23" s="560" t="s">
        <v>547</v>
      </c>
      <c r="N23" s="597" t="s">
        <v>501</v>
      </c>
      <c r="O23" s="567"/>
      <c r="P23" s="567"/>
      <c r="Q23" s="567"/>
      <c r="R23" s="568"/>
      <c r="S23" s="566" t="s">
        <v>502</v>
      </c>
      <c r="T23" s="567"/>
      <c r="U23" s="567"/>
      <c r="V23" s="567"/>
      <c r="W23" s="569"/>
      <c r="Y23" s="570" t="s">
        <v>548</v>
      </c>
      <c r="Z23" s="598" t="s">
        <v>523</v>
      </c>
      <c r="AA23" s="599"/>
      <c r="AB23" s="599"/>
      <c r="AC23" s="599"/>
      <c r="AD23" s="599"/>
      <c r="AE23" s="599"/>
      <c r="AF23" s="599"/>
      <c r="AG23" s="599"/>
      <c r="AH23" s="599"/>
      <c r="AI23" s="600"/>
    </row>
    <row r="24" spans="1:36" ht="41.25" customHeight="1" thickTop="1" thickBot="1">
      <c r="A24" s="596"/>
      <c r="B24" s="541" t="s">
        <v>549</v>
      </c>
      <c r="C24" s="542"/>
      <c r="D24" s="542"/>
      <c r="E24" s="542"/>
      <c r="F24" s="542"/>
      <c r="G24" s="542"/>
      <c r="H24" s="542"/>
      <c r="I24" s="542"/>
      <c r="J24" s="542"/>
      <c r="K24" s="543"/>
      <c r="L24" s="379"/>
      <c r="M24" s="562"/>
      <c r="N24" s="601" t="s">
        <v>550</v>
      </c>
      <c r="O24" s="602"/>
      <c r="P24" s="602"/>
      <c r="Q24" s="602"/>
      <c r="R24" s="603"/>
      <c r="S24" s="604" t="s">
        <v>551</v>
      </c>
      <c r="T24" s="605"/>
      <c r="U24" s="605"/>
      <c r="V24" s="605"/>
      <c r="W24" s="606"/>
      <c r="Y24" s="570"/>
      <c r="Z24" s="607" t="s">
        <v>552</v>
      </c>
      <c r="AA24" s="608"/>
      <c r="AB24" s="608"/>
      <c r="AC24" s="608"/>
      <c r="AD24" s="608"/>
      <c r="AE24" s="608"/>
      <c r="AF24" s="608"/>
      <c r="AG24" s="608"/>
      <c r="AH24" s="608"/>
      <c r="AI24" s="609"/>
    </row>
    <row r="25" spans="1:36" ht="30" customHeight="1" thickTop="1" thickBot="1">
      <c r="A25" s="596" t="s">
        <v>553</v>
      </c>
      <c r="B25" s="541" t="s">
        <v>554</v>
      </c>
      <c r="C25" s="542"/>
      <c r="D25" s="542"/>
      <c r="E25" s="542" t="s">
        <v>498</v>
      </c>
      <c r="F25" s="542"/>
      <c r="G25" s="542"/>
      <c r="H25" s="542" t="s">
        <v>499</v>
      </c>
      <c r="I25" s="542"/>
      <c r="J25" s="542"/>
      <c r="K25" s="543"/>
      <c r="L25" s="379"/>
      <c r="M25" s="560" t="s">
        <v>555</v>
      </c>
      <c r="N25" s="613" t="s">
        <v>556</v>
      </c>
      <c r="O25" s="614"/>
      <c r="P25" s="615"/>
      <c r="Q25" s="566" t="s">
        <v>501</v>
      </c>
      <c r="R25" s="567"/>
      <c r="S25" s="568"/>
      <c r="T25" s="566" t="s">
        <v>502</v>
      </c>
      <c r="U25" s="567"/>
      <c r="V25" s="567"/>
      <c r="W25" s="569"/>
      <c r="Y25" s="570" t="s">
        <v>557</v>
      </c>
      <c r="Z25" s="622" t="s">
        <v>558</v>
      </c>
      <c r="AA25" s="623"/>
      <c r="AB25" s="623"/>
      <c r="AC25" s="706"/>
      <c r="AD25" s="706"/>
      <c r="AE25" s="707" t="s">
        <v>523</v>
      </c>
      <c r="AF25" s="708"/>
      <c r="AG25" s="708"/>
      <c r="AH25" s="708"/>
      <c r="AI25" s="708"/>
      <c r="AJ25" s="443"/>
    </row>
    <row r="26" spans="1:36" ht="36.75" customHeight="1" thickTop="1" thickBot="1">
      <c r="A26" s="596"/>
      <c r="B26" s="541"/>
      <c r="C26" s="542"/>
      <c r="D26" s="542"/>
      <c r="E26" s="542" t="s">
        <v>559</v>
      </c>
      <c r="F26" s="542"/>
      <c r="G26" s="542"/>
      <c r="H26" s="542"/>
      <c r="I26" s="542"/>
      <c r="J26" s="542"/>
      <c r="K26" s="543"/>
      <c r="L26" s="379"/>
      <c r="M26" s="561"/>
      <c r="N26" s="616"/>
      <c r="O26" s="617"/>
      <c r="P26" s="618"/>
      <c r="Q26" s="624" t="s">
        <v>560</v>
      </c>
      <c r="R26" s="587"/>
      <c r="S26" s="541"/>
      <c r="T26" s="624" t="s">
        <v>561</v>
      </c>
      <c r="U26" s="587"/>
      <c r="V26" s="587"/>
      <c r="W26" s="625"/>
      <c r="Y26" s="570"/>
      <c r="Z26" s="622"/>
      <c r="AA26" s="623"/>
      <c r="AB26" s="623"/>
      <c r="AC26" s="713"/>
      <c r="AD26" s="713"/>
      <c r="AE26" s="709" t="s">
        <v>562</v>
      </c>
      <c r="AF26" s="710"/>
      <c r="AG26" s="710"/>
      <c r="AH26" s="710"/>
      <c r="AI26" s="711"/>
    </row>
    <row r="27" spans="1:36" ht="30" thickTop="1" thickBot="1">
      <c r="A27" s="596"/>
      <c r="B27" s="541" t="s">
        <v>563</v>
      </c>
      <c r="C27" s="542"/>
      <c r="D27" s="542"/>
      <c r="E27" s="542" t="s">
        <v>498</v>
      </c>
      <c r="F27" s="542"/>
      <c r="G27" s="542"/>
      <c r="H27" s="542" t="s">
        <v>499</v>
      </c>
      <c r="I27" s="542"/>
      <c r="J27" s="542"/>
      <c r="K27" s="543"/>
      <c r="L27" s="379" t="s">
        <v>564</v>
      </c>
      <c r="M27" s="561"/>
      <c r="N27" s="619" t="s">
        <v>564</v>
      </c>
      <c r="O27" s="620"/>
      <c r="P27" s="621"/>
      <c r="Q27" s="588" t="s">
        <v>501</v>
      </c>
      <c r="R27" s="589"/>
      <c r="S27" s="590"/>
      <c r="T27" s="588" t="s">
        <v>502</v>
      </c>
      <c r="U27" s="589"/>
      <c r="V27" s="589"/>
      <c r="W27" s="591"/>
      <c r="Y27" s="570"/>
      <c r="Z27" s="622" t="s">
        <v>565</v>
      </c>
      <c r="AA27" s="623"/>
      <c r="AB27" s="623"/>
      <c r="AC27" s="706"/>
      <c r="AD27" s="706"/>
      <c r="AE27" s="707" t="s">
        <v>523</v>
      </c>
      <c r="AF27" s="708"/>
      <c r="AG27" s="708"/>
      <c r="AH27" s="708"/>
      <c r="AI27" s="712"/>
    </row>
    <row r="28" spans="1:36" ht="46.5" customHeight="1" thickTop="1" thickBot="1">
      <c r="A28" s="596"/>
      <c r="B28" s="541"/>
      <c r="C28" s="542"/>
      <c r="D28" s="542"/>
      <c r="E28" s="542" t="s">
        <v>559</v>
      </c>
      <c r="F28" s="542"/>
      <c r="G28" s="542"/>
      <c r="H28" s="542"/>
      <c r="I28" s="542"/>
      <c r="J28" s="542"/>
      <c r="K28" s="543"/>
      <c r="L28" s="379"/>
      <c r="M28" s="561"/>
      <c r="N28" s="616"/>
      <c r="O28" s="617"/>
      <c r="P28" s="618"/>
      <c r="Q28" s="624" t="str">
        <f>Q26</f>
        <v xml:space="preserve">If not, what do you need? 
</v>
      </c>
      <c r="R28" s="587"/>
      <c r="S28" s="541"/>
      <c r="T28" s="624" t="s">
        <v>561</v>
      </c>
      <c r="U28" s="587"/>
      <c r="V28" s="587"/>
      <c r="W28" s="625"/>
      <c r="Y28" s="570"/>
      <c r="Z28" s="622"/>
      <c r="AA28" s="623"/>
      <c r="AB28" s="623"/>
      <c r="AC28" s="713"/>
      <c r="AD28" s="713"/>
      <c r="AE28" s="709" t="s">
        <v>562</v>
      </c>
      <c r="AF28" s="710"/>
      <c r="AG28" s="710"/>
      <c r="AH28" s="710"/>
      <c r="AI28" s="711"/>
    </row>
    <row r="29" spans="1:36" ht="44.25" thickTop="1" thickBot="1">
      <c r="A29" s="596"/>
      <c r="B29" s="541" t="s">
        <v>566</v>
      </c>
      <c r="C29" s="542"/>
      <c r="D29" s="542"/>
      <c r="E29" s="542" t="s">
        <v>498</v>
      </c>
      <c r="F29" s="542"/>
      <c r="G29" s="542"/>
      <c r="H29" s="542" t="s">
        <v>499</v>
      </c>
      <c r="I29" s="542"/>
      <c r="J29" s="542"/>
      <c r="K29" s="543"/>
      <c r="L29" s="379" t="s">
        <v>567</v>
      </c>
      <c r="M29" s="561"/>
      <c r="N29" s="619" t="s">
        <v>567</v>
      </c>
      <c r="O29" s="620"/>
      <c r="P29" s="621"/>
      <c r="Q29" s="588" t="s">
        <v>501</v>
      </c>
      <c r="R29" s="589"/>
      <c r="S29" s="590"/>
      <c r="T29" s="588" t="s">
        <v>502</v>
      </c>
      <c r="U29" s="589"/>
      <c r="V29" s="589"/>
      <c r="W29" s="591"/>
      <c r="Y29" s="570"/>
      <c r="Z29" s="622" t="s">
        <v>568</v>
      </c>
      <c r="AA29" s="623"/>
      <c r="AB29" s="623"/>
      <c r="AC29" s="706"/>
      <c r="AD29" s="706"/>
      <c r="AE29" s="707" t="s">
        <v>523</v>
      </c>
      <c r="AF29" s="708"/>
      <c r="AG29" s="708"/>
      <c r="AH29" s="708"/>
      <c r="AI29" s="712"/>
    </row>
    <row r="30" spans="1:36" ht="40.5" customHeight="1" thickTop="1" thickBot="1">
      <c r="A30" s="596"/>
      <c r="B30" s="541"/>
      <c r="C30" s="542"/>
      <c r="D30" s="542"/>
      <c r="E30" s="542" t="s">
        <v>559</v>
      </c>
      <c r="F30" s="542"/>
      <c r="G30" s="542"/>
      <c r="H30" s="542"/>
      <c r="I30" s="542"/>
      <c r="J30" s="542"/>
      <c r="K30" s="543"/>
      <c r="L30" s="379"/>
      <c r="M30" s="562"/>
      <c r="N30" s="627"/>
      <c r="O30" s="628"/>
      <c r="P30" s="629"/>
      <c r="Q30" s="626" t="str">
        <f>Q26</f>
        <v xml:space="preserve">If not, what do you need? 
</v>
      </c>
      <c r="R30" s="572"/>
      <c r="S30" s="573"/>
      <c r="T30" s="604" t="s">
        <v>569</v>
      </c>
      <c r="U30" s="605"/>
      <c r="V30" s="605"/>
      <c r="W30" s="606"/>
      <c r="Y30" s="570"/>
      <c r="Z30" s="622"/>
      <c r="AA30" s="623"/>
      <c r="AB30" s="623"/>
      <c r="AC30" s="713"/>
      <c r="AD30" s="713"/>
      <c r="AE30" s="709" t="s">
        <v>570</v>
      </c>
      <c r="AF30" s="710"/>
      <c r="AG30" s="710"/>
      <c r="AH30" s="710"/>
      <c r="AI30" s="711"/>
    </row>
    <row r="31" spans="1:36" ht="20.25" thickTop="1" thickBot="1">
      <c r="A31" s="596" t="s">
        <v>571</v>
      </c>
      <c r="B31" s="541" t="s">
        <v>572</v>
      </c>
      <c r="C31" s="542"/>
      <c r="D31" s="542"/>
      <c r="E31" s="542" t="s">
        <v>498</v>
      </c>
      <c r="F31" s="542"/>
      <c r="G31" s="542"/>
      <c r="H31" s="542" t="s">
        <v>499</v>
      </c>
      <c r="I31" s="542"/>
      <c r="J31" s="542"/>
      <c r="K31" s="543"/>
      <c r="L31" s="379"/>
      <c r="M31" s="560" t="s">
        <v>573</v>
      </c>
      <c r="N31" s="563" t="s">
        <v>574</v>
      </c>
      <c r="O31" s="564"/>
      <c r="P31" s="565"/>
      <c r="Q31" s="566" t="s">
        <v>501</v>
      </c>
      <c r="R31" s="567"/>
      <c r="S31" s="568"/>
      <c r="T31" s="566" t="s">
        <v>502</v>
      </c>
      <c r="U31" s="567"/>
      <c r="V31" s="567"/>
      <c r="W31" s="569"/>
      <c r="Y31" s="570" t="s">
        <v>473</v>
      </c>
      <c r="Z31" s="630" t="s">
        <v>575</v>
      </c>
      <c r="AA31" s="631"/>
      <c r="AB31" s="631"/>
      <c r="AC31" s="632" t="s">
        <v>520</v>
      </c>
      <c r="AD31" s="632"/>
      <c r="AE31" s="632"/>
      <c r="AF31" s="632"/>
      <c r="AG31" s="632"/>
      <c r="AH31" s="632"/>
      <c r="AI31" s="633"/>
    </row>
    <row r="32" spans="1:36" ht="25.5" customHeight="1" thickTop="1" thickBot="1">
      <c r="A32" s="596"/>
      <c r="B32" s="541" t="s">
        <v>576</v>
      </c>
      <c r="C32" s="542"/>
      <c r="D32" s="542"/>
      <c r="E32" s="542" t="s">
        <v>498</v>
      </c>
      <c r="F32" s="542"/>
      <c r="G32" s="542"/>
      <c r="H32" s="542" t="s">
        <v>499</v>
      </c>
      <c r="I32" s="542"/>
      <c r="J32" s="542"/>
      <c r="K32" s="543"/>
      <c r="L32" s="379"/>
      <c r="M32" s="561"/>
      <c r="N32" s="586" t="s">
        <v>577</v>
      </c>
      <c r="O32" s="587"/>
      <c r="P32" s="541"/>
      <c r="Q32" s="588" t="s">
        <v>501</v>
      </c>
      <c r="R32" s="589"/>
      <c r="S32" s="590"/>
      <c r="T32" s="588" t="s">
        <v>502</v>
      </c>
      <c r="U32" s="589"/>
      <c r="V32" s="589"/>
      <c r="W32" s="591"/>
      <c r="Y32" s="570"/>
      <c r="Z32" s="592" t="s">
        <v>578</v>
      </c>
      <c r="AA32" s="593"/>
      <c r="AB32" s="593"/>
      <c r="AC32" s="632"/>
      <c r="AD32" s="632"/>
      <c r="AE32" s="632"/>
      <c r="AF32" s="594" t="s">
        <v>523</v>
      </c>
      <c r="AG32" s="594"/>
      <c r="AH32" s="594"/>
      <c r="AI32" s="595"/>
    </row>
    <row r="33" spans="1:38" ht="36" customHeight="1" thickTop="1" thickBot="1">
      <c r="A33" s="596"/>
      <c r="B33" s="541" t="s">
        <v>579</v>
      </c>
      <c r="C33" s="542"/>
      <c r="D33" s="542"/>
      <c r="E33" s="542" t="s">
        <v>498</v>
      </c>
      <c r="F33" s="542"/>
      <c r="G33" s="542"/>
      <c r="H33" s="542" t="s">
        <v>499</v>
      </c>
      <c r="I33" s="542"/>
      <c r="J33" s="542"/>
      <c r="K33" s="543"/>
      <c r="L33" s="379"/>
      <c r="M33" s="562"/>
      <c r="N33" s="571" t="s">
        <v>580</v>
      </c>
      <c r="O33" s="572"/>
      <c r="P33" s="573"/>
      <c r="Q33" s="574" t="s">
        <v>501</v>
      </c>
      <c r="R33" s="575"/>
      <c r="S33" s="576"/>
      <c r="T33" s="574" t="s">
        <v>502</v>
      </c>
      <c r="U33" s="575"/>
      <c r="V33" s="575"/>
      <c r="W33" s="577"/>
      <c r="Y33" s="570"/>
      <c r="Z33" s="578" t="s">
        <v>581</v>
      </c>
      <c r="AA33" s="579"/>
      <c r="AB33" s="579"/>
      <c r="AC33" s="580" t="s">
        <v>520</v>
      </c>
      <c r="AD33" s="580"/>
      <c r="AE33" s="580"/>
      <c r="AF33" s="580"/>
      <c r="AG33" s="580"/>
      <c r="AH33" s="580"/>
      <c r="AI33" s="581"/>
    </row>
    <row r="34" spans="1:38" ht="30" customHeight="1" thickTop="1" thickBot="1">
      <c r="A34" s="382"/>
      <c r="B34" s="386"/>
      <c r="C34" s="387"/>
      <c r="D34" s="387"/>
      <c r="E34" s="387"/>
      <c r="F34" s="387"/>
      <c r="G34" s="387"/>
      <c r="H34" s="387"/>
      <c r="I34" s="387"/>
      <c r="J34" s="387"/>
      <c r="K34" s="388"/>
      <c r="L34" s="379"/>
      <c r="M34" s="560" t="s">
        <v>582</v>
      </c>
      <c r="N34" s="563" t="s">
        <v>583</v>
      </c>
      <c r="O34" s="564"/>
      <c r="P34" s="565"/>
      <c r="Q34" s="566" t="s">
        <v>501</v>
      </c>
      <c r="R34" s="567"/>
      <c r="S34" s="568"/>
      <c r="T34" s="566" t="s">
        <v>502</v>
      </c>
      <c r="U34" s="567"/>
      <c r="V34" s="567"/>
      <c r="W34" s="569"/>
      <c r="Y34" s="570" t="s">
        <v>584</v>
      </c>
      <c r="Z34" s="582" t="s">
        <v>585</v>
      </c>
      <c r="AA34" s="583"/>
      <c r="AB34" s="583"/>
      <c r="AC34" s="584" t="s">
        <v>520</v>
      </c>
      <c r="AD34" s="584"/>
      <c r="AE34" s="584"/>
      <c r="AF34" s="584"/>
      <c r="AG34" s="584"/>
      <c r="AH34" s="584"/>
      <c r="AI34" s="585"/>
    </row>
    <row r="35" spans="1:38" ht="38.25" customHeight="1" thickTop="1" thickBot="1">
      <c r="A35" s="382"/>
      <c r="B35" s="386"/>
      <c r="C35" s="387"/>
      <c r="D35" s="387"/>
      <c r="E35" s="387"/>
      <c r="F35" s="387"/>
      <c r="G35" s="387"/>
      <c r="H35" s="387"/>
      <c r="I35" s="387"/>
      <c r="J35" s="387"/>
      <c r="K35" s="388"/>
      <c r="L35" s="379"/>
      <c r="M35" s="561"/>
      <c r="N35" s="586" t="s">
        <v>586</v>
      </c>
      <c r="O35" s="587"/>
      <c r="P35" s="541"/>
      <c r="Q35" s="588" t="s">
        <v>501</v>
      </c>
      <c r="R35" s="589"/>
      <c r="S35" s="590"/>
      <c r="T35" s="588" t="s">
        <v>502</v>
      </c>
      <c r="U35" s="589"/>
      <c r="V35" s="589"/>
      <c r="W35" s="591"/>
      <c r="Y35" s="570"/>
      <c r="Z35" s="592" t="s">
        <v>587</v>
      </c>
      <c r="AA35" s="593"/>
      <c r="AB35" s="593"/>
      <c r="AC35" s="594" t="s">
        <v>520</v>
      </c>
      <c r="AD35" s="594"/>
      <c r="AE35" s="594"/>
      <c r="AF35" s="594"/>
      <c r="AG35" s="594"/>
      <c r="AH35" s="594"/>
      <c r="AI35" s="595"/>
    </row>
    <row r="36" spans="1:38" ht="38.25" customHeight="1" thickTop="1" thickBot="1">
      <c r="A36" s="382"/>
      <c r="B36" s="386"/>
      <c r="C36" s="387"/>
      <c r="D36" s="387"/>
      <c r="E36" s="387"/>
      <c r="F36" s="387"/>
      <c r="G36" s="387"/>
      <c r="H36" s="387"/>
      <c r="I36" s="387"/>
      <c r="J36" s="387"/>
      <c r="K36" s="388"/>
      <c r="L36" s="379"/>
      <c r="M36" s="561"/>
      <c r="N36" s="586" t="s">
        <v>588</v>
      </c>
      <c r="O36" s="587"/>
      <c r="P36" s="541"/>
      <c r="Q36" s="588" t="s">
        <v>501</v>
      </c>
      <c r="R36" s="589"/>
      <c r="S36" s="590"/>
      <c r="T36" s="588" t="s">
        <v>502</v>
      </c>
      <c r="U36" s="589"/>
      <c r="V36" s="589"/>
      <c r="W36" s="591"/>
      <c r="Y36" s="570"/>
      <c r="Z36" s="592" t="s">
        <v>589</v>
      </c>
      <c r="AA36" s="593"/>
      <c r="AB36" s="593"/>
      <c r="AC36" s="594"/>
      <c r="AD36" s="594"/>
      <c r="AE36" s="594"/>
      <c r="AF36" s="594" t="s">
        <v>523</v>
      </c>
      <c r="AG36" s="594"/>
      <c r="AH36" s="594"/>
      <c r="AI36" s="595"/>
    </row>
    <row r="37" spans="1:38" ht="42.75" customHeight="1" thickTop="1" thickBot="1">
      <c r="A37" s="382"/>
      <c r="B37" s="386"/>
      <c r="C37" s="387"/>
      <c r="D37" s="387"/>
      <c r="E37" s="387"/>
      <c r="F37" s="387"/>
      <c r="G37" s="387"/>
      <c r="H37" s="387"/>
      <c r="I37" s="387"/>
      <c r="J37" s="387"/>
      <c r="K37" s="388"/>
      <c r="L37" s="379"/>
      <c r="M37" s="562"/>
      <c r="N37" s="571" t="s">
        <v>590</v>
      </c>
      <c r="O37" s="572"/>
      <c r="P37" s="573"/>
      <c r="Q37" s="574" t="s">
        <v>501</v>
      </c>
      <c r="R37" s="575"/>
      <c r="S37" s="576"/>
      <c r="T37" s="574" t="s">
        <v>502</v>
      </c>
      <c r="U37" s="575"/>
      <c r="V37" s="575"/>
      <c r="W37" s="577"/>
      <c r="Y37" s="570"/>
      <c r="Z37" s="578" t="s">
        <v>591</v>
      </c>
      <c r="AA37" s="579"/>
      <c r="AB37" s="579"/>
      <c r="AC37" s="580"/>
      <c r="AD37" s="580"/>
      <c r="AE37" s="580"/>
      <c r="AF37" s="580" t="s">
        <v>523</v>
      </c>
      <c r="AG37" s="580"/>
      <c r="AH37" s="580"/>
      <c r="AI37" s="581"/>
    </row>
    <row r="38" spans="1:38" ht="43.5" customHeight="1" thickTop="1" thickBot="1">
      <c r="A38" s="382" t="s">
        <v>592</v>
      </c>
      <c r="B38" s="386" t="s">
        <v>572</v>
      </c>
      <c r="C38" s="542" t="s">
        <v>498</v>
      </c>
      <c r="D38" s="542"/>
      <c r="E38" s="542" t="s">
        <v>499</v>
      </c>
      <c r="F38" s="542"/>
      <c r="G38" s="387" t="s">
        <v>593</v>
      </c>
      <c r="H38" s="542" t="s">
        <v>498</v>
      </c>
      <c r="I38" s="542"/>
      <c r="J38" s="542"/>
      <c r="K38" s="388" t="s">
        <v>499</v>
      </c>
      <c r="L38" s="379"/>
      <c r="M38" s="380" t="s">
        <v>594</v>
      </c>
      <c r="N38" s="537" t="s">
        <v>595</v>
      </c>
      <c r="O38" s="538"/>
      <c r="P38" s="539"/>
      <c r="Q38" s="383" t="s">
        <v>501</v>
      </c>
      <c r="R38" s="383" t="s">
        <v>502</v>
      </c>
      <c r="S38" s="537" t="s">
        <v>596</v>
      </c>
      <c r="T38" s="538"/>
      <c r="U38" s="539"/>
      <c r="V38" s="383" t="s">
        <v>501</v>
      </c>
      <c r="W38" s="383" t="s">
        <v>502</v>
      </c>
      <c r="Y38" s="381" t="s">
        <v>597</v>
      </c>
      <c r="Z38" s="634" t="s">
        <v>598</v>
      </c>
      <c r="AA38" s="634"/>
      <c r="AB38" s="634"/>
      <c r="AC38" s="389" t="s">
        <v>520</v>
      </c>
      <c r="AD38" s="389"/>
      <c r="AE38" s="634" t="s">
        <v>599</v>
      </c>
      <c r="AF38" s="634"/>
      <c r="AG38" s="634"/>
      <c r="AH38" s="389" t="s">
        <v>520</v>
      </c>
      <c r="AI38" s="389"/>
    </row>
    <row r="39" spans="1:38" ht="30.75" customHeight="1" thickTop="1" thickBot="1">
      <c r="A39" s="596" t="s">
        <v>600</v>
      </c>
      <c r="B39" s="635" t="s">
        <v>601</v>
      </c>
      <c r="C39" s="636"/>
      <c r="D39" s="636" t="s">
        <v>602</v>
      </c>
      <c r="E39" s="636"/>
      <c r="F39" s="636"/>
      <c r="G39" s="636" t="s">
        <v>603</v>
      </c>
      <c r="H39" s="636"/>
      <c r="I39" s="636" t="s">
        <v>604</v>
      </c>
      <c r="J39" s="636"/>
      <c r="K39" s="637"/>
      <c r="L39" s="390"/>
      <c r="M39" s="560" t="s">
        <v>605</v>
      </c>
      <c r="N39" s="638" t="s">
        <v>606</v>
      </c>
      <c r="O39" s="639"/>
      <c r="P39" s="640" t="s">
        <v>607</v>
      </c>
      <c r="Q39" s="641"/>
      <c r="R39" s="639"/>
      <c r="S39" s="640" t="s">
        <v>608</v>
      </c>
      <c r="T39" s="639"/>
      <c r="U39" s="640" t="s">
        <v>609</v>
      </c>
      <c r="V39" s="641"/>
      <c r="W39" s="649"/>
      <c r="Y39" s="570" t="s">
        <v>610</v>
      </c>
      <c r="Z39" s="650" t="s">
        <v>611</v>
      </c>
      <c r="AA39" s="651"/>
      <c r="AB39" s="651" t="s">
        <v>612</v>
      </c>
      <c r="AC39" s="651"/>
      <c r="AD39" s="651"/>
      <c r="AE39" s="651" t="s">
        <v>613</v>
      </c>
      <c r="AF39" s="651"/>
      <c r="AG39" s="651" t="s">
        <v>614</v>
      </c>
      <c r="AH39" s="651"/>
      <c r="AI39" s="663"/>
    </row>
    <row r="40" spans="1:38" ht="150" customHeight="1" thickTop="1" thickBot="1">
      <c r="A40" s="596"/>
      <c r="B40" s="642" t="s">
        <v>615</v>
      </c>
      <c r="C40" s="643"/>
      <c r="D40" s="643" t="s">
        <v>616</v>
      </c>
      <c r="E40" s="643"/>
      <c r="F40" s="643"/>
      <c r="G40" s="643" t="s">
        <v>616</v>
      </c>
      <c r="H40" s="643"/>
      <c r="I40" s="643" t="s">
        <v>616</v>
      </c>
      <c r="J40" s="643"/>
      <c r="K40" s="644"/>
      <c r="L40" s="391"/>
      <c r="M40" s="562"/>
      <c r="N40" s="645"/>
      <c r="O40" s="646"/>
      <c r="P40" s="647"/>
      <c r="Q40" s="648"/>
      <c r="R40" s="646"/>
      <c r="S40" s="647"/>
      <c r="T40" s="646"/>
      <c r="U40" s="647"/>
      <c r="V40" s="648"/>
      <c r="W40" s="658"/>
      <c r="Y40" s="570"/>
      <c r="Z40" s="659" t="s">
        <v>703</v>
      </c>
      <c r="AA40" s="660"/>
      <c r="AB40" s="661" t="s">
        <v>705</v>
      </c>
      <c r="AC40" s="660"/>
      <c r="AD40" s="660"/>
      <c r="AE40" s="661" t="s">
        <v>704</v>
      </c>
      <c r="AF40" s="660"/>
      <c r="AG40" s="661" t="s">
        <v>715</v>
      </c>
      <c r="AH40" s="660"/>
      <c r="AI40" s="662"/>
    </row>
    <row r="41" spans="1:38" ht="38.25" customHeight="1" thickTop="1" thickBot="1">
      <c r="A41" s="596" t="s">
        <v>617</v>
      </c>
      <c r="B41" s="541" t="s">
        <v>618</v>
      </c>
      <c r="C41" s="542"/>
      <c r="D41" s="542"/>
      <c r="E41" s="542"/>
      <c r="F41" s="542"/>
      <c r="G41" s="542" t="s">
        <v>619</v>
      </c>
      <c r="H41" s="542"/>
      <c r="I41" s="542"/>
      <c r="J41" s="542"/>
      <c r="K41" s="543"/>
      <c r="L41" s="379"/>
      <c r="M41" s="392" t="s">
        <v>620</v>
      </c>
      <c r="N41" s="667">
        <v>0.10839873986813564</v>
      </c>
      <c r="O41" s="668"/>
      <c r="P41" s="668"/>
      <c r="Q41" s="668"/>
      <c r="R41" s="668"/>
      <c r="S41" s="668"/>
      <c r="T41" s="668"/>
      <c r="U41" s="668"/>
      <c r="V41" s="668"/>
      <c r="W41" s="669"/>
      <c r="Y41" s="393" t="s">
        <v>701</v>
      </c>
      <c r="Z41" s="652">
        <v>0.44700000000000001</v>
      </c>
      <c r="AA41" s="652"/>
      <c r="AB41" s="652"/>
      <c r="AC41" s="652"/>
      <c r="AD41" s="652"/>
      <c r="AE41" s="652"/>
      <c r="AF41" s="652"/>
      <c r="AG41" s="652"/>
      <c r="AH41" s="652"/>
      <c r="AI41" s="652"/>
    </row>
    <row r="42" spans="1:38" ht="41.25" customHeight="1" thickTop="1" thickBot="1">
      <c r="A42" s="596"/>
      <c r="B42" s="386"/>
      <c r="C42" s="387"/>
      <c r="D42" s="387"/>
      <c r="E42" s="387"/>
      <c r="F42" s="387"/>
      <c r="G42" s="387"/>
      <c r="H42" s="387"/>
      <c r="I42" s="387"/>
      <c r="J42" s="387"/>
      <c r="K42" s="388"/>
      <c r="L42" s="379"/>
      <c r="M42" s="392" t="s">
        <v>622</v>
      </c>
      <c r="N42" s="548">
        <v>958739.36945756758</v>
      </c>
      <c r="O42" s="549"/>
      <c r="P42" s="549"/>
      <c r="Q42" s="549"/>
      <c r="R42" s="549"/>
      <c r="S42" s="549"/>
      <c r="T42" s="549"/>
      <c r="U42" s="549"/>
      <c r="V42" s="549"/>
      <c r="W42" s="550"/>
      <c r="Y42" s="393" t="s">
        <v>623</v>
      </c>
      <c r="Z42" s="653">
        <v>22905647</v>
      </c>
      <c r="AA42" s="540"/>
      <c r="AB42" s="540"/>
      <c r="AC42" s="540"/>
      <c r="AD42" s="540"/>
      <c r="AE42" s="540"/>
      <c r="AF42" s="540"/>
      <c r="AG42" s="540"/>
      <c r="AH42" s="540"/>
      <c r="AI42" s="540"/>
    </row>
    <row r="43" spans="1:38" ht="42" customHeight="1" thickTop="1" thickBot="1">
      <c r="A43" s="596"/>
      <c r="B43" s="386"/>
      <c r="C43" s="387"/>
      <c r="D43" s="387"/>
      <c r="E43" s="387"/>
      <c r="F43" s="387"/>
      <c r="G43" s="387"/>
      <c r="H43" s="387"/>
      <c r="I43" s="387"/>
      <c r="J43" s="387"/>
      <c r="K43" s="388"/>
      <c r="L43" s="379"/>
      <c r="M43" s="392" t="s">
        <v>624</v>
      </c>
      <c r="N43" s="654">
        <v>1.2552798753725618</v>
      </c>
      <c r="O43" s="655"/>
      <c r="P43" s="655"/>
      <c r="Q43" s="655"/>
      <c r="R43" s="655"/>
      <c r="S43" s="655"/>
      <c r="T43" s="655"/>
      <c r="U43" s="655"/>
      <c r="V43" s="655"/>
      <c r="W43" s="656"/>
      <c r="Y43" s="393" t="s">
        <v>702</v>
      </c>
      <c r="Z43" s="657">
        <v>8.06</v>
      </c>
      <c r="AA43" s="540"/>
      <c r="AB43" s="540"/>
      <c r="AC43" s="540"/>
      <c r="AD43" s="540"/>
      <c r="AE43" s="540"/>
      <c r="AF43" s="540"/>
      <c r="AG43" s="540"/>
      <c r="AH43" s="540"/>
      <c r="AI43" s="540"/>
    </row>
    <row r="44" spans="1:38" ht="42.75" customHeight="1" thickTop="1" thickBot="1">
      <c r="A44" s="596" t="s">
        <v>625</v>
      </c>
      <c r="B44" s="541" t="s">
        <v>626</v>
      </c>
      <c r="C44" s="542"/>
      <c r="D44" s="542"/>
      <c r="E44" s="542" t="s">
        <v>498</v>
      </c>
      <c r="F44" s="542"/>
      <c r="G44" s="542"/>
      <c r="H44" s="542" t="s">
        <v>499</v>
      </c>
      <c r="I44" s="542"/>
      <c r="J44" s="542"/>
      <c r="K44" s="543"/>
      <c r="L44" s="379"/>
      <c r="M44" s="664" t="s">
        <v>627</v>
      </c>
      <c r="N44" s="563" t="s">
        <v>628</v>
      </c>
      <c r="O44" s="564"/>
      <c r="P44" s="565"/>
      <c r="Q44" s="676">
        <v>1080875</v>
      </c>
      <c r="R44" s="677"/>
      <c r="S44" s="677"/>
      <c r="T44" s="677"/>
      <c r="U44" s="677"/>
      <c r="V44" s="677"/>
      <c r="W44" s="678"/>
      <c r="Y44" s="570" t="s">
        <v>629</v>
      </c>
      <c r="Z44" s="582" t="s">
        <v>54</v>
      </c>
      <c r="AA44" s="583"/>
      <c r="AB44" s="583"/>
      <c r="AC44" s="679">
        <v>3242870</v>
      </c>
      <c r="AD44" s="680"/>
      <c r="AE44" s="680"/>
      <c r="AF44" s="680"/>
      <c r="AG44" s="680"/>
      <c r="AH44" s="680"/>
      <c r="AI44" s="681"/>
      <c r="AL44" s="444">
        <f>+AA12</f>
        <v>14229910</v>
      </c>
    </row>
    <row r="45" spans="1:38" ht="38.25" customHeight="1" thickTop="1" thickBot="1">
      <c r="A45" s="596"/>
      <c r="B45" s="541" t="s">
        <v>630</v>
      </c>
      <c r="C45" s="542"/>
      <c r="D45" s="542"/>
      <c r="E45" s="542" t="s">
        <v>498</v>
      </c>
      <c r="F45" s="542"/>
      <c r="G45" s="542"/>
      <c r="H45" s="542" t="s">
        <v>499</v>
      </c>
      <c r="I45" s="542"/>
      <c r="J45" s="542"/>
      <c r="K45" s="543"/>
      <c r="L45" s="379"/>
      <c r="M45" s="665"/>
      <c r="N45" s="682" t="s">
        <v>631</v>
      </c>
      <c r="O45" s="683"/>
      <c r="P45" s="684"/>
      <c r="Q45" s="685">
        <v>2183014</v>
      </c>
      <c r="R45" s="686"/>
      <c r="S45" s="686"/>
      <c r="T45" s="686"/>
      <c r="U45" s="686"/>
      <c r="V45" s="686"/>
      <c r="W45" s="687"/>
      <c r="Y45" s="570"/>
      <c r="Z45" s="688" t="s">
        <v>55</v>
      </c>
      <c r="AA45" s="593"/>
      <c r="AB45" s="593"/>
      <c r="AC45" s="670">
        <v>5000000</v>
      </c>
      <c r="AD45" s="671"/>
      <c r="AE45" s="671"/>
      <c r="AF45" s="671"/>
      <c r="AG45" s="671"/>
      <c r="AH45" s="671"/>
      <c r="AI45" s="672"/>
      <c r="AL45" s="367">
        <f>+AL44/2</f>
        <v>7114955</v>
      </c>
    </row>
    <row r="46" spans="1:38" ht="31.5" customHeight="1" thickTop="1" thickBot="1">
      <c r="A46" s="596"/>
      <c r="B46" s="541" t="s">
        <v>632</v>
      </c>
      <c r="C46" s="542"/>
      <c r="D46" s="542"/>
      <c r="E46" s="542" t="s">
        <v>498</v>
      </c>
      <c r="F46" s="542"/>
      <c r="G46" s="542"/>
      <c r="H46" s="542" t="s">
        <v>499</v>
      </c>
      <c r="I46" s="542"/>
      <c r="J46" s="542"/>
      <c r="K46" s="543"/>
      <c r="L46" s="379"/>
      <c r="M46" s="666"/>
      <c r="N46" s="571" t="s">
        <v>633</v>
      </c>
      <c r="O46" s="572"/>
      <c r="P46" s="573"/>
      <c r="Q46" s="673">
        <v>0</v>
      </c>
      <c r="R46" s="674"/>
      <c r="S46" s="674"/>
      <c r="T46" s="674"/>
      <c r="U46" s="674"/>
      <c r="V46" s="674"/>
      <c r="W46" s="675"/>
      <c r="Y46" s="570"/>
      <c r="Z46" s="592" t="s">
        <v>654</v>
      </c>
      <c r="AA46" s="593"/>
      <c r="AB46" s="593"/>
      <c r="AC46" s="670">
        <f>14300000-AC45-AC44</f>
        <v>6057130</v>
      </c>
      <c r="AD46" s="671"/>
      <c r="AE46" s="671"/>
      <c r="AF46" s="671"/>
      <c r="AG46" s="671"/>
      <c r="AH46" s="671"/>
      <c r="AI46" s="672"/>
      <c r="AL46" s="367">
        <f>+AL45*50%</f>
        <v>3557477.5</v>
      </c>
    </row>
    <row r="47" spans="1:38" ht="39" customHeight="1" thickTop="1" thickBot="1">
      <c r="A47" s="382"/>
      <c r="B47" s="386"/>
      <c r="C47" s="387"/>
      <c r="D47" s="387"/>
      <c r="E47" s="387"/>
      <c r="F47" s="387"/>
      <c r="G47" s="387"/>
      <c r="H47" s="387"/>
      <c r="I47" s="387"/>
      <c r="J47" s="387"/>
      <c r="K47" s="388"/>
      <c r="L47" s="379"/>
      <c r="M47" s="560" t="s">
        <v>635</v>
      </c>
      <c r="N47" s="703" t="s">
        <v>636</v>
      </c>
      <c r="O47" s="704"/>
      <c r="P47" s="705"/>
      <c r="Q47" s="703" t="s">
        <v>637</v>
      </c>
      <c r="R47" s="704"/>
      <c r="S47" s="705"/>
      <c r="T47" s="703" t="s">
        <v>638</v>
      </c>
      <c r="U47" s="704"/>
      <c r="V47" s="704"/>
      <c r="W47" s="705"/>
      <c r="Y47" s="570" t="s">
        <v>639</v>
      </c>
      <c r="Z47" s="689" t="s">
        <v>640</v>
      </c>
      <c r="AA47" s="690"/>
      <c r="AB47" s="691"/>
      <c r="AC47" s="689" t="s">
        <v>641</v>
      </c>
      <c r="AD47" s="690"/>
      <c r="AE47" s="691"/>
      <c r="AF47" s="692" t="s">
        <v>642</v>
      </c>
      <c r="AG47" s="690"/>
      <c r="AH47" s="690"/>
      <c r="AI47" s="691"/>
    </row>
    <row r="48" spans="1:38" ht="51" customHeight="1" thickTop="1" thickBot="1">
      <c r="A48" s="382"/>
      <c r="B48" s="386"/>
      <c r="C48" s="387"/>
      <c r="D48" s="387"/>
      <c r="E48" s="387"/>
      <c r="F48" s="387"/>
      <c r="G48" s="387"/>
      <c r="H48" s="387"/>
      <c r="I48" s="387"/>
      <c r="J48" s="387"/>
      <c r="K48" s="388"/>
      <c r="L48" s="379"/>
      <c r="M48" s="562"/>
      <c r="N48" s="394" t="s">
        <v>643</v>
      </c>
      <c r="O48" s="693" t="s">
        <v>644</v>
      </c>
      <c r="P48" s="694"/>
      <c r="Q48" s="394" t="s">
        <v>643</v>
      </c>
      <c r="R48" s="693" t="s">
        <v>645</v>
      </c>
      <c r="S48" s="694"/>
      <c r="T48" s="394" t="s">
        <v>643</v>
      </c>
      <c r="U48" s="695" t="s">
        <v>646</v>
      </c>
      <c r="V48" s="696"/>
      <c r="W48" s="697"/>
      <c r="Y48" s="570"/>
      <c r="Z48" s="395" t="s">
        <v>719</v>
      </c>
      <c r="AA48" s="698" t="s">
        <v>720</v>
      </c>
      <c r="AB48" s="699"/>
      <c r="AC48" s="395" t="s">
        <v>716</v>
      </c>
      <c r="AD48" s="698" t="s">
        <v>645</v>
      </c>
      <c r="AE48" s="699"/>
      <c r="AF48" s="700" t="s">
        <v>646</v>
      </c>
      <c r="AG48" s="701"/>
      <c r="AH48" s="701"/>
      <c r="AI48" s="702"/>
    </row>
    <row r="49" spans="1:12" ht="15" thickTop="1">
      <c r="A49" s="379"/>
      <c r="B49" s="379"/>
      <c r="C49" s="379"/>
      <c r="D49" s="379"/>
      <c r="E49" s="379"/>
      <c r="F49" s="379"/>
      <c r="G49" s="379"/>
      <c r="H49" s="379"/>
      <c r="I49" s="379"/>
      <c r="J49" s="379"/>
      <c r="K49" s="379"/>
      <c r="L49" s="379"/>
    </row>
  </sheetData>
  <mergeCells count="283">
    <mergeCell ref="AC25:AD25"/>
    <mergeCell ref="AC27:AD27"/>
    <mergeCell ref="AC29:AD29"/>
    <mergeCell ref="AE25:AI25"/>
    <mergeCell ref="AE26:AI26"/>
    <mergeCell ref="AE27:AI27"/>
    <mergeCell ref="AE28:AI28"/>
    <mergeCell ref="AE29:AI29"/>
    <mergeCell ref="AE30:AI30"/>
    <mergeCell ref="AC26:AD26"/>
    <mergeCell ref="AC28:AD28"/>
    <mergeCell ref="AC30:AD30"/>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Z39:AA39"/>
    <mergeCell ref="Z41:AI41"/>
    <mergeCell ref="N42:W42"/>
    <mergeCell ref="Z42:AI42"/>
    <mergeCell ref="N43:W43"/>
    <mergeCell ref="Z43:AI43"/>
    <mergeCell ref="S40:T40"/>
    <mergeCell ref="U40:W40"/>
    <mergeCell ref="Z40:AA40"/>
    <mergeCell ref="AB40:AD40"/>
    <mergeCell ref="AE40:AF40"/>
    <mergeCell ref="AG40:AI40"/>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AF31:AI31"/>
    <mergeCell ref="Q32:S32"/>
    <mergeCell ref="T32:W32"/>
    <mergeCell ref="Z32:AB32"/>
    <mergeCell ref="AC32:AE32"/>
    <mergeCell ref="AF32:AI32"/>
    <mergeCell ref="Q33:S33"/>
    <mergeCell ref="T33:W33"/>
    <mergeCell ref="Z33:AB33"/>
    <mergeCell ref="AC33:AE33"/>
    <mergeCell ref="AF33:AI33"/>
    <mergeCell ref="Q31:S31"/>
    <mergeCell ref="T31:W31"/>
    <mergeCell ref="B33:D33"/>
    <mergeCell ref="E33:G33"/>
    <mergeCell ref="H33:K33"/>
    <mergeCell ref="N33:P33"/>
    <mergeCell ref="Y31:Y33"/>
    <mergeCell ref="Z31:AB31"/>
    <mergeCell ref="AC31:AE31"/>
    <mergeCell ref="A31:A33"/>
    <mergeCell ref="B31:D31"/>
    <mergeCell ref="E31:G31"/>
    <mergeCell ref="H31:K31"/>
    <mergeCell ref="M31:M33"/>
    <mergeCell ref="N31:P31"/>
    <mergeCell ref="B32:D32"/>
    <mergeCell ref="E32:G32"/>
    <mergeCell ref="H32:K32"/>
    <mergeCell ref="N32:P32"/>
    <mergeCell ref="H28:K28"/>
    <mergeCell ref="Q28:S28"/>
    <mergeCell ref="T28:W28"/>
    <mergeCell ref="Z29:AB30"/>
    <mergeCell ref="E30:G30"/>
    <mergeCell ref="H30:K30"/>
    <mergeCell ref="Q30:S30"/>
    <mergeCell ref="T30:W30"/>
    <mergeCell ref="B29:D30"/>
    <mergeCell ref="E29:G29"/>
    <mergeCell ref="H29:K29"/>
    <mergeCell ref="N29:P30"/>
    <mergeCell ref="Q29:S29"/>
    <mergeCell ref="T29:W29"/>
    <mergeCell ref="Z22:AI22"/>
    <mergeCell ref="Y21:Y22"/>
    <mergeCell ref="A25:A30"/>
    <mergeCell ref="B25:D26"/>
    <mergeCell ref="E25:G25"/>
    <mergeCell ref="H25:K25"/>
    <mergeCell ref="M25:M30"/>
    <mergeCell ref="N25:P26"/>
    <mergeCell ref="B27:D28"/>
    <mergeCell ref="E27:G27"/>
    <mergeCell ref="H27:K27"/>
    <mergeCell ref="N27:P28"/>
    <mergeCell ref="Q25:S25"/>
    <mergeCell ref="T25:W25"/>
    <mergeCell ref="Y25:Y30"/>
    <mergeCell ref="Z25:AB26"/>
    <mergeCell ref="E26:G26"/>
    <mergeCell ref="H26:K26"/>
    <mergeCell ref="Q26:S26"/>
    <mergeCell ref="T26:W26"/>
    <mergeCell ref="Q27:S27"/>
    <mergeCell ref="T27:W27"/>
    <mergeCell ref="Z27:AB28"/>
    <mergeCell ref="E28:G28"/>
    <mergeCell ref="T20:W20"/>
    <mergeCell ref="Z20:AB20"/>
    <mergeCell ref="AC20:AE20"/>
    <mergeCell ref="AF20:AI20"/>
    <mergeCell ref="A23:A24"/>
    <mergeCell ref="B23:F23"/>
    <mergeCell ref="G23:K23"/>
    <mergeCell ref="M23:M24"/>
    <mergeCell ref="N23:R23"/>
    <mergeCell ref="S23:W23"/>
    <mergeCell ref="B21:K21"/>
    <mergeCell ref="M21:M22"/>
    <mergeCell ref="N21:P21"/>
    <mergeCell ref="Q21:S21"/>
    <mergeCell ref="T21:W21"/>
    <mergeCell ref="Y23:Y24"/>
    <mergeCell ref="Z23:AI23"/>
    <mergeCell ref="B24:K24"/>
    <mergeCell ref="N24:R24"/>
    <mergeCell ref="S24:W24"/>
    <mergeCell ref="Z24:AI24"/>
    <mergeCell ref="Z21:AI21"/>
    <mergeCell ref="N22:P22"/>
    <mergeCell ref="Q22:W22"/>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B11:K11"/>
    <mergeCell ref="O11:W11"/>
    <mergeCell ref="AA11:AI11"/>
    <mergeCell ref="B12:K12"/>
    <mergeCell ref="O12:W12"/>
    <mergeCell ref="AA12:AI12"/>
    <mergeCell ref="B10:D10"/>
    <mergeCell ref="E10:G10"/>
    <mergeCell ref="H10:K10"/>
    <mergeCell ref="N10:R10"/>
    <mergeCell ref="S10:U10"/>
    <mergeCell ref="Z10:AI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31496062992125984" right="0.11811023622047245" top="0.19685039370078741" bottom="0.19685039370078741" header="0.11811023622047245" footer="0.11811023622047245"/>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2ACF-F5FC-42A6-9932-C8EBC8A9826E}">
  <sheetPr>
    <pageSetUpPr fitToPage="1"/>
  </sheetPr>
  <dimension ref="A3:AJ49"/>
  <sheetViews>
    <sheetView topLeftCell="L37" zoomScale="73" zoomScaleNormal="73" workbookViewId="0">
      <selection activeCell="Q52" sqref="Q52"/>
    </sheetView>
  </sheetViews>
  <sheetFormatPr defaultColWidth="11.5703125" defaultRowHeight="14.25" outlineLevelCol="1"/>
  <cols>
    <col min="1" max="1" width="19.7109375" style="367" hidden="1" customWidth="1" outlineLevel="1"/>
    <col min="2" max="6" width="11.5703125" style="367" hidden="1" customWidth="1" outlineLevel="1"/>
    <col min="7" max="7" width="14" style="367" hidden="1" customWidth="1" outlineLevel="1"/>
    <col min="8" max="11" width="11.5703125" style="367" hidden="1" customWidth="1" outlineLevel="1"/>
    <col min="12" max="12" width="11.5703125" style="367" customWidth="1" collapsed="1"/>
    <col min="13" max="13" width="46.85546875" style="367" customWidth="1"/>
    <col min="14" max="14" width="17.5703125" style="367" customWidth="1"/>
    <col min="15" max="16" width="11.5703125" style="367"/>
    <col min="17" max="17" width="15.7109375" style="367" customWidth="1"/>
    <col min="18" max="18" width="16.140625" style="367" customWidth="1"/>
    <col min="19" max="19" width="13.42578125" style="367" customWidth="1"/>
    <col min="20" max="20" width="18.42578125" style="367" customWidth="1"/>
    <col min="21" max="21" width="11.85546875" style="367" customWidth="1"/>
    <col min="22" max="22" width="11.28515625" style="367" customWidth="1"/>
    <col min="23" max="23" width="13.5703125" style="367" customWidth="1"/>
    <col min="24" max="24" width="11.5703125" style="367"/>
    <col min="25" max="25" width="30.85546875" style="367" hidden="1" customWidth="1" outlineLevel="1"/>
    <col min="26" max="26" width="14.7109375" style="367" hidden="1" customWidth="1" outlineLevel="1"/>
    <col min="27" max="28" width="0" style="367" hidden="1" customWidth="1" outlineLevel="1"/>
    <col min="29" max="29" width="15.7109375" style="367" hidden="1" customWidth="1" outlineLevel="1"/>
    <col min="30" max="30" width="13.28515625" style="367" hidden="1" customWidth="1" outlineLevel="1"/>
    <col min="31" max="31" width="17" style="367" hidden="1" customWidth="1" outlineLevel="1"/>
    <col min="32" max="32" width="14.5703125" style="367" hidden="1" customWidth="1" outlineLevel="1"/>
    <col min="33" max="33" width="13.5703125" style="367" hidden="1" customWidth="1" outlineLevel="1"/>
    <col min="34" max="34" width="11.28515625" style="367" hidden="1" customWidth="1" outlineLevel="1"/>
    <col min="35" max="35" width="11.140625" style="367" hidden="1" customWidth="1" outlineLevel="1"/>
    <col min="36" max="36" width="11.5703125" style="367" collapsed="1"/>
    <col min="37" max="16384" width="11.5703125" style="367"/>
  </cols>
  <sheetData>
    <row r="3" spans="1:35">
      <c r="J3" s="367" t="s">
        <v>478</v>
      </c>
      <c r="K3" s="367" t="s">
        <v>479</v>
      </c>
      <c r="V3" s="368" t="s">
        <v>480</v>
      </c>
      <c r="W3" s="368" t="s">
        <v>481</v>
      </c>
      <c r="AH3" s="396" t="s">
        <v>482</v>
      </c>
      <c r="AI3" s="396" t="s">
        <v>483</v>
      </c>
    </row>
    <row r="4" spans="1:35" ht="18">
      <c r="E4" s="371" t="s">
        <v>484</v>
      </c>
      <c r="F4" s="372"/>
      <c r="G4" s="372"/>
      <c r="J4" s="367" t="s">
        <v>485</v>
      </c>
      <c r="K4" s="373">
        <v>44053</v>
      </c>
      <c r="L4" s="373"/>
      <c r="P4" s="371"/>
      <c r="Q4" s="372"/>
      <c r="R4" s="372"/>
      <c r="V4" s="397" t="s">
        <v>485</v>
      </c>
      <c r="W4" s="398">
        <f>+ПаспортРУС!AI4</f>
        <v>44365</v>
      </c>
      <c r="AB4" s="371" t="s">
        <v>486</v>
      </c>
      <c r="AC4" s="372"/>
      <c r="AD4" s="372"/>
      <c r="AH4" s="367" t="s">
        <v>487</v>
      </c>
      <c r="AI4" s="373">
        <v>44053</v>
      </c>
    </row>
    <row r="5" spans="1:35" ht="18">
      <c r="E5" s="371"/>
      <c r="F5" s="372"/>
      <c r="G5" s="372"/>
      <c r="P5" s="371"/>
      <c r="Q5" s="372"/>
      <c r="R5" s="372"/>
      <c r="AB5" s="371"/>
      <c r="AC5" s="372"/>
      <c r="AD5" s="372"/>
    </row>
    <row r="6" spans="1:35" ht="30">
      <c r="A6" s="544" t="s">
        <v>488</v>
      </c>
      <c r="B6" s="544"/>
      <c r="C6" s="544"/>
      <c r="D6" s="544"/>
      <c r="E6" s="544"/>
      <c r="F6" s="544"/>
      <c r="G6" s="544"/>
      <c r="H6" s="544"/>
      <c r="I6" s="544"/>
      <c r="J6" s="544"/>
      <c r="K6" s="544"/>
      <c r="L6" s="377"/>
      <c r="M6" s="716" t="s">
        <v>488</v>
      </c>
      <c r="N6" s="716"/>
      <c r="O6" s="716"/>
      <c r="P6" s="716"/>
      <c r="Q6" s="716"/>
      <c r="R6" s="716"/>
      <c r="S6" s="716"/>
      <c r="T6" s="716"/>
      <c r="U6" s="716"/>
      <c r="V6" s="716"/>
      <c r="W6" s="716"/>
      <c r="Y6" s="717" t="s">
        <v>489</v>
      </c>
      <c r="Z6" s="717"/>
      <c r="AA6" s="717"/>
      <c r="AB6" s="717"/>
      <c r="AC6" s="717"/>
      <c r="AD6" s="717"/>
      <c r="AE6" s="717"/>
      <c r="AF6" s="717"/>
      <c r="AG6" s="717"/>
      <c r="AH6" s="717"/>
      <c r="AI6" s="717"/>
    </row>
    <row r="7" spans="1:35" ht="30.75" thickBot="1">
      <c r="A7" s="544" t="s">
        <v>655</v>
      </c>
      <c r="B7" s="544"/>
      <c r="C7" s="544"/>
      <c r="D7" s="544"/>
      <c r="E7" s="544"/>
      <c r="F7" s="544"/>
      <c r="G7" s="544"/>
      <c r="H7" s="544"/>
      <c r="I7" s="544"/>
      <c r="J7" s="544"/>
      <c r="K7" s="544"/>
      <c r="L7" s="377"/>
      <c r="M7" s="718" t="s">
        <v>708</v>
      </c>
      <c r="N7" s="718"/>
      <c r="O7" s="718"/>
      <c r="P7" s="718"/>
      <c r="Q7" s="718"/>
      <c r="R7" s="718"/>
      <c r="S7" s="718"/>
      <c r="T7" s="718"/>
      <c r="U7" s="718"/>
      <c r="V7" s="718"/>
      <c r="W7" s="718"/>
      <c r="Y7" s="544" t="s">
        <v>658</v>
      </c>
      <c r="Z7" s="544"/>
      <c r="AA7" s="544"/>
      <c r="AB7" s="544"/>
      <c r="AC7" s="544"/>
      <c r="AD7" s="544"/>
      <c r="AE7" s="544"/>
      <c r="AF7" s="544"/>
      <c r="AG7" s="544"/>
      <c r="AH7" s="544"/>
      <c r="AI7" s="544"/>
    </row>
    <row r="8" spans="1:35" ht="40.5" customHeight="1" thickTop="1" thickBot="1">
      <c r="A8" s="378" t="s">
        <v>490</v>
      </c>
      <c r="B8" s="534" t="s">
        <v>491</v>
      </c>
      <c r="C8" s="535"/>
      <c r="D8" s="535"/>
      <c r="E8" s="535"/>
      <c r="F8" s="535"/>
      <c r="G8" s="535"/>
      <c r="H8" s="535"/>
      <c r="I8" s="535"/>
      <c r="J8" s="535"/>
      <c r="K8" s="536"/>
      <c r="L8" s="379"/>
      <c r="M8" s="399" t="s">
        <v>490</v>
      </c>
      <c r="N8" s="714" t="s">
        <v>708</v>
      </c>
      <c r="O8" s="714"/>
      <c r="P8" s="714"/>
      <c r="Q8" s="714"/>
      <c r="R8" s="714"/>
      <c r="S8" s="714"/>
      <c r="T8" s="714"/>
      <c r="U8" s="714"/>
      <c r="V8" s="714"/>
      <c r="W8" s="714"/>
      <c r="Y8" s="380" t="s">
        <v>492</v>
      </c>
      <c r="Z8" s="715" t="s">
        <v>659</v>
      </c>
      <c r="AA8" s="715"/>
      <c r="AB8" s="715"/>
      <c r="AC8" s="715"/>
      <c r="AD8" s="715"/>
      <c r="AE8" s="715"/>
      <c r="AF8" s="715"/>
      <c r="AG8" s="715"/>
      <c r="AH8" s="715"/>
      <c r="AI8" s="715"/>
    </row>
    <row r="9" spans="1:35" ht="79.5" customHeight="1" thickTop="1" thickBot="1">
      <c r="A9" s="382" t="s">
        <v>493</v>
      </c>
      <c r="B9" s="541" t="s">
        <v>494</v>
      </c>
      <c r="C9" s="542"/>
      <c r="D9" s="542"/>
      <c r="E9" s="542"/>
      <c r="F9" s="542"/>
      <c r="G9" s="542"/>
      <c r="H9" s="542"/>
      <c r="I9" s="542"/>
      <c r="J9" s="542"/>
      <c r="K9" s="543"/>
      <c r="L9" s="379"/>
      <c r="M9" s="399" t="s">
        <v>493</v>
      </c>
      <c r="N9" s="714" t="s">
        <v>709</v>
      </c>
      <c r="O9" s="714"/>
      <c r="P9" s="714"/>
      <c r="Q9" s="714"/>
      <c r="R9" s="714"/>
      <c r="S9" s="714"/>
      <c r="T9" s="714"/>
      <c r="U9" s="714"/>
      <c r="V9" s="714"/>
      <c r="W9" s="714"/>
      <c r="Y9" s="380" t="s">
        <v>495</v>
      </c>
      <c r="Z9" s="715" t="s">
        <v>660</v>
      </c>
      <c r="AA9" s="715"/>
      <c r="AB9" s="715"/>
      <c r="AC9" s="715"/>
      <c r="AD9" s="715"/>
      <c r="AE9" s="715"/>
      <c r="AF9" s="715"/>
      <c r="AG9" s="715"/>
      <c r="AH9" s="715"/>
      <c r="AI9" s="715"/>
    </row>
    <row r="10" spans="1:35" ht="34.5" customHeight="1" thickTop="1" thickBot="1">
      <c r="A10" s="382" t="s">
        <v>496</v>
      </c>
      <c r="B10" s="541" t="s">
        <v>497</v>
      </c>
      <c r="C10" s="542"/>
      <c r="D10" s="542"/>
      <c r="E10" s="542" t="s">
        <v>498</v>
      </c>
      <c r="F10" s="542"/>
      <c r="G10" s="542"/>
      <c r="H10" s="542" t="s">
        <v>499</v>
      </c>
      <c r="I10" s="542"/>
      <c r="J10" s="542"/>
      <c r="K10" s="543"/>
      <c r="L10" s="379"/>
      <c r="M10" s="399" t="s">
        <v>496</v>
      </c>
      <c r="N10" s="722" t="s">
        <v>710</v>
      </c>
      <c r="O10" s="722"/>
      <c r="P10" s="722"/>
      <c r="Q10" s="722"/>
      <c r="R10" s="722"/>
      <c r="S10" s="722"/>
      <c r="T10" s="722"/>
      <c r="U10" s="722"/>
      <c r="V10" s="722"/>
      <c r="W10" s="722"/>
      <c r="Y10" s="380" t="s">
        <v>503</v>
      </c>
      <c r="Z10" s="715" t="s">
        <v>661</v>
      </c>
      <c r="AA10" s="715"/>
      <c r="AB10" s="715"/>
      <c r="AC10" s="715"/>
      <c r="AD10" s="715"/>
      <c r="AE10" s="715" t="s">
        <v>647</v>
      </c>
      <c r="AF10" s="715"/>
      <c r="AG10" s="715"/>
      <c r="AH10" s="383" t="s">
        <v>520</v>
      </c>
      <c r="AI10" s="383" t="s">
        <v>523</v>
      </c>
    </row>
    <row r="11" spans="1:35" ht="36" customHeight="1" thickTop="1" thickBot="1">
      <c r="A11" s="382" t="s">
        <v>504</v>
      </c>
      <c r="B11" s="541"/>
      <c r="C11" s="542"/>
      <c r="D11" s="542"/>
      <c r="E11" s="542"/>
      <c r="F11" s="542"/>
      <c r="G11" s="542"/>
      <c r="H11" s="542"/>
      <c r="I11" s="542"/>
      <c r="J11" s="542"/>
      <c r="K11" s="543"/>
      <c r="L11" s="379"/>
      <c r="M11" s="399" t="s">
        <v>504</v>
      </c>
      <c r="N11" s="400" t="s">
        <v>717</v>
      </c>
      <c r="O11" s="719">
        <f>+ПаспортРУС!AA11</f>
        <v>360000</v>
      </c>
      <c r="P11" s="720"/>
      <c r="Q11" s="720"/>
      <c r="R11" s="720"/>
      <c r="S11" s="720"/>
      <c r="T11" s="720"/>
      <c r="U11" s="720"/>
      <c r="V11" s="720"/>
      <c r="W11" s="721"/>
      <c r="Y11" s="380" t="s">
        <v>506</v>
      </c>
      <c r="Z11" s="384" t="s">
        <v>648</v>
      </c>
      <c r="AA11" s="548">
        <v>64800</v>
      </c>
      <c r="AB11" s="549"/>
      <c r="AC11" s="549"/>
      <c r="AD11" s="549"/>
      <c r="AE11" s="549"/>
      <c r="AF11" s="549"/>
      <c r="AG11" s="549"/>
      <c r="AH11" s="549"/>
      <c r="AI11" s="550"/>
    </row>
    <row r="12" spans="1:35" ht="28.5" customHeight="1" thickTop="1" thickBot="1">
      <c r="A12" s="382" t="s">
        <v>507</v>
      </c>
      <c r="B12" s="541" t="s">
        <v>508</v>
      </c>
      <c r="C12" s="542"/>
      <c r="D12" s="542"/>
      <c r="E12" s="542"/>
      <c r="F12" s="542"/>
      <c r="G12" s="542"/>
      <c r="H12" s="542"/>
      <c r="I12" s="542"/>
      <c r="J12" s="542"/>
      <c r="K12" s="543"/>
      <c r="L12" s="379"/>
      <c r="M12" s="399" t="s">
        <v>507</v>
      </c>
      <c r="N12" s="400" t="s">
        <v>126</v>
      </c>
      <c r="O12" s="719">
        <f>+ПаспортРУС!AA12</f>
        <v>14229910</v>
      </c>
      <c r="P12" s="720"/>
      <c r="Q12" s="720"/>
      <c r="R12" s="720"/>
      <c r="S12" s="720"/>
      <c r="T12" s="720"/>
      <c r="U12" s="720"/>
      <c r="V12" s="720"/>
      <c r="W12" s="721"/>
      <c r="Y12" s="380" t="s">
        <v>509</v>
      </c>
      <c r="Z12" s="384" t="s">
        <v>126</v>
      </c>
      <c r="AA12" s="548">
        <v>3263889</v>
      </c>
      <c r="AB12" s="549"/>
      <c r="AC12" s="549"/>
      <c r="AD12" s="549"/>
      <c r="AE12" s="549"/>
      <c r="AF12" s="549"/>
      <c r="AG12" s="549"/>
      <c r="AH12" s="549"/>
      <c r="AI12" s="550"/>
    </row>
    <row r="13" spans="1:35" ht="36" customHeight="1" thickTop="1" thickBot="1">
      <c r="A13" s="382" t="s">
        <v>510</v>
      </c>
      <c r="B13" s="541" t="s">
        <v>511</v>
      </c>
      <c r="C13" s="542"/>
      <c r="D13" s="542"/>
      <c r="E13" s="542"/>
      <c r="F13" s="542"/>
      <c r="G13" s="542"/>
      <c r="H13" s="542"/>
      <c r="I13" s="542"/>
      <c r="J13" s="542"/>
      <c r="K13" s="543"/>
      <c r="L13" s="379"/>
      <c r="M13" s="399" t="s">
        <v>510</v>
      </c>
      <c r="N13" s="400" t="s">
        <v>512</v>
      </c>
      <c r="O13" s="719">
        <f>+ПаспортРУС!AA13</f>
        <v>50</v>
      </c>
      <c r="P13" s="720"/>
      <c r="Q13" s="720"/>
      <c r="R13" s="720"/>
      <c r="S13" s="720"/>
      <c r="T13" s="720"/>
      <c r="U13" s="720"/>
      <c r="V13" s="720"/>
      <c r="W13" s="721"/>
      <c r="Y13" s="380" t="s">
        <v>513</v>
      </c>
      <c r="Z13" s="384" t="s">
        <v>514</v>
      </c>
      <c r="AA13" s="548">
        <v>70.68500707069515</v>
      </c>
      <c r="AB13" s="549"/>
      <c r="AC13" s="549"/>
      <c r="AD13" s="549"/>
      <c r="AE13" s="549"/>
      <c r="AF13" s="549"/>
      <c r="AG13" s="549"/>
      <c r="AH13" s="549"/>
      <c r="AI13" s="550"/>
    </row>
    <row r="14" spans="1:35" ht="26.25" customHeight="1" thickTop="1" thickBot="1">
      <c r="A14" s="557" t="s">
        <v>515</v>
      </c>
      <c r="B14" s="541" t="s">
        <v>516</v>
      </c>
      <c r="C14" s="542"/>
      <c r="D14" s="542"/>
      <c r="E14" s="542"/>
      <c r="F14" s="542"/>
      <c r="G14" s="542"/>
      <c r="H14" s="542"/>
      <c r="I14" s="542"/>
      <c r="J14" s="542"/>
      <c r="K14" s="543"/>
      <c r="L14" s="379"/>
      <c r="M14" s="723" t="s">
        <v>515</v>
      </c>
      <c r="N14" s="724" t="s">
        <v>517</v>
      </c>
      <c r="O14" s="725"/>
      <c r="P14" s="725"/>
      <c r="Q14" s="726" t="s">
        <v>501</v>
      </c>
      <c r="R14" s="726"/>
      <c r="S14" s="726"/>
      <c r="T14" s="726"/>
      <c r="U14" s="726"/>
      <c r="V14" s="726"/>
      <c r="W14" s="727"/>
      <c r="Y14" s="728" t="s">
        <v>518</v>
      </c>
      <c r="Z14" s="737" t="s">
        <v>519</v>
      </c>
      <c r="AA14" s="738"/>
      <c r="AB14" s="738"/>
      <c r="AC14" s="739" t="s">
        <v>520</v>
      </c>
      <c r="AD14" s="739"/>
      <c r="AE14" s="739"/>
      <c r="AF14" s="739" t="s">
        <v>523</v>
      </c>
      <c r="AG14" s="739"/>
      <c r="AH14" s="739"/>
      <c r="AI14" s="740"/>
    </row>
    <row r="15" spans="1:35" ht="24.75" customHeight="1" thickTop="1" thickBot="1">
      <c r="A15" s="558"/>
      <c r="B15" s="386"/>
      <c r="C15" s="387"/>
      <c r="D15" s="387"/>
      <c r="E15" s="387"/>
      <c r="F15" s="387"/>
      <c r="G15" s="387"/>
      <c r="H15" s="387"/>
      <c r="I15" s="387"/>
      <c r="J15" s="387"/>
      <c r="K15" s="388"/>
      <c r="L15" s="379"/>
      <c r="M15" s="723"/>
      <c r="N15" s="741" t="s">
        <v>521</v>
      </c>
      <c r="O15" s="742"/>
      <c r="P15" s="742"/>
      <c r="Q15" s="743" t="s">
        <v>501</v>
      </c>
      <c r="R15" s="743"/>
      <c r="S15" s="743"/>
      <c r="T15" s="743"/>
      <c r="U15" s="743"/>
      <c r="V15" s="743"/>
      <c r="W15" s="744"/>
      <c r="Y15" s="728"/>
      <c r="Z15" s="745" t="s">
        <v>522</v>
      </c>
      <c r="AA15" s="542"/>
      <c r="AB15" s="542"/>
      <c r="AC15" s="746" t="s">
        <v>520</v>
      </c>
      <c r="AD15" s="746"/>
      <c r="AE15" s="746"/>
      <c r="AF15" s="746" t="s">
        <v>523</v>
      </c>
      <c r="AG15" s="746"/>
      <c r="AH15" s="746"/>
      <c r="AI15" s="747"/>
    </row>
    <row r="16" spans="1:35" ht="26.25" customHeight="1" thickTop="1" thickBot="1">
      <c r="A16" s="559"/>
      <c r="B16" s="386"/>
      <c r="C16" s="387"/>
      <c r="D16" s="387"/>
      <c r="E16" s="387"/>
      <c r="F16" s="387"/>
      <c r="G16" s="387"/>
      <c r="H16" s="387"/>
      <c r="I16" s="387"/>
      <c r="J16" s="387"/>
      <c r="K16" s="388"/>
      <c r="L16" s="379"/>
      <c r="M16" s="723"/>
      <c r="N16" s="729" t="s">
        <v>524</v>
      </c>
      <c r="O16" s="730"/>
      <c r="P16" s="730"/>
      <c r="Q16" s="731"/>
      <c r="R16" s="731"/>
      <c r="S16" s="731"/>
      <c r="T16" s="731" t="s">
        <v>502</v>
      </c>
      <c r="U16" s="731"/>
      <c r="V16" s="731"/>
      <c r="W16" s="732"/>
      <c r="Y16" s="728"/>
      <c r="Z16" s="733" t="s">
        <v>525</v>
      </c>
      <c r="AA16" s="734"/>
      <c r="AB16" s="734"/>
      <c r="AC16" s="735" t="s">
        <v>520</v>
      </c>
      <c r="AD16" s="735"/>
      <c r="AE16" s="735"/>
      <c r="AF16" s="735" t="s">
        <v>523</v>
      </c>
      <c r="AG16" s="735"/>
      <c r="AH16" s="735"/>
      <c r="AI16" s="736"/>
    </row>
    <row r="17" spans="1:35" ht="39.75" customHeight="1" thickTop="1" thickBot="1">
      <c r="A17" s="382" t="s">
        <v>526</v>
      </c>
      <c r="B17" s="541" t="s">
        <v>527</v>
      </c>
      <c r="C17" s="542"/>
      <c r="D17" s="542"/>
      <c r="E17" s="542"/>
      <c r="F17" s="542"/>
      <c r="G17" s="542"/>
      <c r="H17" s="542"/>
      <c r="I17" s="542"/>
      <c r="J17" s="542"/>
      <c r="K17" s="543"/>
      <c r="L17" s="379"/>
      <c r="M17" s="723" t="s">
        <v>528</v>
      </c>
      <c r="N17" s="724" t="s">
        <v>529</v>
      </c>
      <c r="O17" s="725"/>
      <c r="P17" s="725"/>
      <c r="Q17" s="726" t="s">
        <v>501</v>
      </c>
      <c r="R17" s="726"/>
      <c r="S17" s="726"/>
      <c r="T17" s="726"/>
      <c r="U17" s="726"/>
      <c r="V17" s="726"/>
      <c r="W17" s="727"/>
      <c r="Y17" s="728" t="s">
        <v>530</v>
      </c>
      <c r="Z17" s="737" t="s">
        <v>531</v>
      </c>
      <c r="AA17" s="738"/>
      <c r="AB17" s="738"/>
      <c r="AC17" s="739" t="s">
        <v>520</v>
      </c>
      <c r="AD17" s="739"/>
      <c r="AE17" s="739"/>
      <c r="AF17" s="739"/>
      <c r="AG17" s="739"/>
      <c r="AH17" s="739"/>
      <c r="AI17" s="740"/>
    </row>
    <row r="18" spans="1:35" ht="27" customHeight="1" thickTop="1" thickBot="1">
      <c r="A18" s="382"/>
      <c r="B18" s="386"/>
      <c r="C18" s="387"/>
      <c r="D18" s="387"/>
      <c r="E18" s="387"/>
      <c r="F18" s="387"/>
      <c r="G18" s="387"/>
      <c r="H18" s="387"/>
      <c r="I18" s="387"/>
      <c r="J18" s="387"/>
      <c r="K18" s="388"/>
      <c r="L18" s="379"/>
      <c r="M18" s="723"/>
      <c r="N18" s="741" t="s">
        <v>532</v>
      </c>
      <c r="O18" s="742"/>
      <c r="P18" s="742"/>
      <c r="Q18" s="743"/>
      <c r="R18" s="743"/>
      <c r="S18" s="743"/>
      <c r="T18" s="743" t="s">
        <v>502</v>
      </c>
      <c r="U18" s="743"/>
      <c r="V18" s="743"/>
      <c r="W18" s="744"/>
      <c r="Y18" s="728"/>
      <c r="Z18" s="745" t="s">
        <v>533</v>
      </c>
      <c r="AA18" s="542"/>
      <c r="AB18" s="542"/>
      <c r="AC18" s="746"/>
      <c r="AD18" s="746"/>
      <c r="AE18" s="746"/>
      <c r="AF18" s="746" t="s">
        <v>523</v>
      </c>
      <c r="AG18" s="746"/>
      <c r="AH18" s="746"/>
      <c r="AI18" s="747"/>
    </row>
    <row r="19" spans="1:35" ht="21.75" customHeight="1" thickTop="1" thickBot="1">
      <c r="A19" s="382"/>
      <c r="B19" s="386"/>
      <c r="C19" s="387"/>
      <c r="D19" s="387"/>
      <c r="E19" s="387"/>
      <c r="F19" s="387"/>
      <c r="G19" s="387"/>
      <c r="H19" s="387"/>
      <c r="I19" s="387"/>
      <c r="J19" s="387"/>
      <c r="K19" s="388"/>
      <c r="L19" s="379"/>
      <c r="M19" s="723"/>
      <c r="N19" s="741" t="s">
        <v>534</v>
      </c>
      <c r="O19" s="742"/>
      <c r="P19" s="742"/>
      <c r="Q19" s="743"/>
      <c r="R19" s="743"/>
      <c r="S19" s="743"/>
      <c r="T19" s="743" t="s">
        <v>502</v>
      </c>
      <c r="U19" s="743"/>
      <c r="V19" s="743"/>
      <c r="W19" s="744"/>
      <c r="Y19" s="728"/>
      <c r="Z19" s="745" t="s">
        <v>535</v>
      </c>
      <c r="AA19" s="542"/>
      <c r="AB19" s="542"/>
      <c r="AC19" s="746"/>
      <c r="AD19" s="746"/>
      <c r="AE19" s="746"/>
      <c r="AF19" s="746" t="s">
        <v>523</v>
      </c>
      <c r="AG19" s="746"/>
      <c r="AH19" s="746"/>
      <c r="AI19" s="747"/>
    </row>
    <row r="20" spans="1:35" ht="30" customHeight="1" thickTop="1" thickBot="1">
      <c r="A20" s="382"/>
      <c r="B20" s="386"/>
      <c r="C20" s="387"/>
      <c r="D20" s="387"/>
      <c r="E20" s="387"/>
      <c r="F20" s="387"/>
      <c r="G20" s="387"/>
      <c r="H20" s="387"/>
      <c r="I20" s="387"/>
      <c r="J20" s="387"/>
      <c r="K20" s="388"/>
      <c r="L20" s="379"/>
      <c r="M20" s="723"/>
      <c r="N20" s="729" t="s">
        <v>536</v>
      </c>
      <c r="O20" s="730"/>
      <c r="P20" s="730"/>
      <c r="Q20" s="731"/>
      <c r="R20" s="731"/>
      <c r="S20" s="731"/>
      <c r="T20" s="731" t="s">
        <v>502</v>
      </c>
      <c r="U20" s="731"/>
      <c r="V20" s="731"/>
      <c r="W20" s="732"/>
      <c r="Y20" s="728"/>
      <c r="Z20" s="733" t="s">
        <v>537</v>
      </c>
      <c r="AA20" s="734"/>
      <c r="AB20" s="734"/>
      <c r="AC20" s="735"/>
      <c r="AD20" s="735"/>
      <c r="AE20" s="735"/>
      <c r="AF20" s="735" t="s">
        <v>523</v>
      </c>
      <c r="AG20" s="735"/>
      <c r="AH20" s="735"/>
      <c r="AI20" s="736"/>
    </row>
    <row r="21" spans="1:35" ht="30" customHeight="1" thickTop="1" thickBot="1">
      <c r="A21" s="382" t="s">
        <v>538</v>
      </c>
      <c r="B21" s="541" t="s">
        <v>539</v>
      </c>
      <c r="C21" s="542"/>
      <c r="D21" s="542"/>
      <c r="E21" s="542"/>
      <c r="F21" s="542"/>
      <c r="G21" s="542"/>
      <c r="H21" s="542"/>
      <c r="I21" s="542"/>
      <c r="J21" s="542"/>
      <c r="K21" s="543"/>
      <c r="L21" s="379"/>
      <c r="M21" s="723" t="s">
        <v>540</v>
      </c>
      <c r="N21" s="748" t="s">
        <v>502</v>
      </c>
      <c r="O21" s="749"/>
      <c r="P21" s="749"/>
      <c r="Q21" s="749"/>
      <c r="R21" s="749"/>
      <c r="S21" s="749"/>
      <c r="T21" s="749"/>
      <c r="U21" s="749"/>
      <c r="V21" s="749"/>
      <c r="W21" s="750"/>
      <c r="Y21" s="728" t="s">
        <v>542</v>
      </c>
      <c r="Z21" s="737" t="s">
        <v>649</v>
      </c>
      <c r="AA21" s="738"/>
      <c r="AB21" s="738"/>
      <c r="AC21" s="739" t="s">
        <v>520</v>
      </c>
      <c r="AD21" s="739"/>
      <c r="AE21" s="739"/>
      <c r="AF21" s="739" t="s">
        <v>523</v>
      </c>
      <c r="AG21" s="739"/>
      <c r="AH21" s="739"/>
      <c r="AI21" s="740"/>
    </row>
    <row r="22" spans="1:35" ht="48" customHeight="1" thickTop="1" thickBot="1">
      <c r="A22" s="382"/>
      <c r="B22" s="386"/>
      <c r="C22" s="387"/>
      <c r="D22" s="387"/>
      <c r="E22" s="387"/>
      <c r="F22" s="387"/>
      <c r="G22" s="387"/>
      <c r="H22" s="387"/>
      <c r="I22" s="387"/>
      <c r="J22" s="387"/>
      <c r="K22" s="388"/>
      <c r="L22" s="379"/>
      <c r="M22" s="723"/>
      <c r="N22" s="759" t="s">
        <v>544</v>
      </c>
      <c r="O22" s="760"/>
      <c r="P22" s="760"/>
      <c r="Q22" s="760"/>
      <c r="R22" s="760"/>
      <c r="S22" s="760"/>
      <c r="T22" s="760"/>
      <c r="U22" s="760"/>
      <c r="V22" s="760"/>
      <c r="W22" s="761"/>
      <c r="Y22" s="728"/>
      <c r="Z22" s="733" t="s">
        <v>650</v>
      </c>
      <c r="AA22" s="734"/>
      <c r="AB22" s="734"/>
      <c r="AC22" s="757" t="s">
        <v>545</v>
      </c>
      <c r="AD22" s="757"/>
      <c r="AE22" s="757"/>
      <c r="AF22" s="757"/>
      <c r="AG22" s="757"/>
      <c r="AH22" s="757"/>
      <c r="AI22" s="758"/>
    </row>
    <row r="23" spans="1:35" ht="28.5" customHeight="1" thickTop="1" thickBot="1">
      <c r="A23" s="596" t="s">
        <v>546</v>
      </c>
      <c r="B23" s="541" t="s">
        <v>498</v>
      </c>
      <c r="C23" s="542"/>
      <c r="D23" s="542"/>
      <c r="E23" s="542"/>
      <c r="F23" s="542"/>
      <c r="G23" s="542" t="s">
        <v>499</v>
      </c>
      <c r="H23" s="542"/>
      <c r="I23" s="542"/>
      <c r="J23" s="542"/>
      <c r="K23" s="543"/>
      <c r="L23" s="379"/>
      <c r="M23" s="723" t="s">
        <v>547</v>
      </c>
      <c r="N23" s="748" t="s">
        <v>502</v>
      </c>
      <c r="O23" s="749"/>
      <c r="P23" s="749"/>
      <c r="Q23" s="749"/>
      <c r="R23" s="749"/>
      <c r="S23" s="749"/>
      <c r="T23" s="749"/>
      <c r="U23" s="749"/>
      <c r="V23" s="749"/>
      <c r="W23" s="750"/>
      <c r="Y23" s="728" t="s">
        <v>548</v>
      </c>
      <c r="Z23" s="751" t="s">
        <v>520</v>
      </c>
      <c r="AA23" s="739"/>
      <c r="AB23" s="739"/>
      <c r="AC23" s="739"/>
      <c r="AD23" s="739"/>
      <c r="AE23" s="739" t="s">
        <v>523</v>
      </c>
      <c r="AF23" s="739"/>
      <c r="AG23" s="739"/>
      <c r="AH23" s="739"/>
      <c r="AI23" s="740"/>
    </row>
    <row r="24" spans="1:35" ht="41.25" customHeight="1" thickTop="1" thickBot="1">
      <c r="A24" s="596"/>
      <c r="B24" s="541" t="s">
        <v>549</v>
      </c>
      <c r="C24" s="542"/>
      <c r="D24" s="542"/>
      <c r="E24" s="542"/>
      <c r="F24" s="542"/>
      <c r="G24" s="542"/>
      <c r="H24" s="542"/>
      <c r="I24" s="542"/>
      <c r="J24" s="542"/>
      <c r="K24" s="543"/>
      <c r="L24" s="379"/>
      <c r="M24" s="723"/>
      <c r="N24" s="752" t="s">
        <v>551</v>
      </c>
      <c r="O24" s="753"/>
      <c r="P24" s="753"/>
      <c r="Q24" s="753"/>
      <c r="R24" s="753"/>
      <c r="S24" s="753"/>
      <c r="T24" s="753"/>
      <c r="U24" s="753"/>
      <c r="V24" s="753"/>
      <c r="W24" s="754"/>
      <c r="Y24" s="728"/>
      <c r="Z24" s="755" t="s">
        <v>651</v>
      </c>
      <c r="AA24" s="756"/>
      <c r="AB24" s="756"/>
      <c r="AC24" s="756"/>
      <c r="AD24" s="756"/>
      <c r="AE24" s="757" t="s">
        <v>552</v>
      </c>
      <c r="AF24" s="757"/>
      <c r="AG24" s="757"/>
      <c r="AH24" s="757"/>
      <c r="AI24" s="758"/>
    </row>
    <row r="25" spans="1:35" ht="30" customHeight="1" thickTop="1" thickBot="1">
      <c r="A25" s="596" t="s">
        <v>553</v>
      </c>
      <c r="B25" s="541" t="s">
        <v>554</v>
      </c>
      <c r="C25" s="542"/>
      <c r="D25" s="542"/>
      <c r="E25" s="542" t="s">
        <v>498</v>
      </c>
      <c r="F25" s="542"/>
      <c r="G25" s="542"/>
      <c r="H25" s="542" t="s">
        <v>499</v>
      </c>
      <c r="I25" s="542"/>
      <c r="J25" s="542"/>
      <c r="K25" s="543"/>
      <c r="L25" s="379"/>
      <c r="M25" s="762" t="s">
        <v>555</v>
      </c>
      <c r="N25" s="763" t="s">
        <v>556</v>
      </c>
      <c r="O25" s="764"/>
      <c r="P25" s="764"/>
      <c r="Q25" s="768"/>
      <c r="R25" s="768"/>
      <c r="S25" s="768" t="s">
        <v>502</v>
      </c>
      <c r="T25" s="768"/>
      <c r="U25" s="768"/>
      <c r="V25" s="768"/>
      <c r="W25" s="771"/>
      <c r="Y25" s="728" t="s">
        <v>557</v>
      </c>
      <c r="Z25" s="737" t="s">
        <v>558</v>
      </c>
      <c r="AA25" s="738"/>
      <c r="AB25" s="738"/>
      <c r="AC25" s="739" t="s">
        <v>520</v>
      </c>
      <c r="AD25" s="739"/>
      <c r="AE25" s="739"/>
      <c r="AF25" s="739" t="s">
        <v>523</v>
      </c>
      <c r="AG25" s="739"/>
      <c r="AH25" s="739"/>
      <c r="AI25" s="740"/>
    </row>
    <row r="26" spans="1:35" ht="36.75" customHeight="1" thickTop="1" thickBot="1">
      <c r="A26" s="596"/>
      <c r="B26" s="541"/>
      <c r="C26" s="542"/>
      <c r="D26" s="542"/>
      <c r="E26" s="542" t="s">
        <v>559</v>
      </c>
      <c r="F26" s="542"/>
      <c r="G26" s="542"/>
      <c r="H26" s="542"/>
      <c r="I26" s="542"/>
      <c r="J26" s="542"/>
      <c r="K26" s="543"/>
      <c r="L26" s="379"/>
      <c r="M26" s="762"/>
      <c r="N26" s="765"/>
      <c r="O26" s="766"/>
      <c r="P26" s="766"/>
      <c r="Q26" s="769"/>
      <c r="R26" s="769"/>
      <c r="S26" s="769" t="s">
        <v>561</v>
      </c>
      <c r="T26" s="769"/>
      <c r="U26" s="769"/>
      <c r="V26" s="769"/>
      <c r="W26" s="772"/>
      <c r="Y26" s="728"/>
      <c r="Z26" s="745"/>
      <c r="AA26" s="542"/>
      <c r="AB26" s="542"/>
      <c r="AC26" s="542" t="s">
        <v>652</v>
      </c>
      <c r="AD26" s="542"/>
      <c r="AE26" s="542"/>
      <c r="AF26" s="542" t="s">
        <v>562</v>
      </c>
      <c r="AG26" s="542"/>
      <c r="AH26" s="542"/>
      <c r="AI26" s="767"/>
    </row>
    <row r="27" spans="1:35" ht="20.25" thickTop="1" thickBot="1">
      <c r="A27" s="596"/>
      <c r="B27" s="541" t="s">
        <v>563</v>
      </c>
      <c r="C27" s="542"/>
      <c r="D27" s="542"/>
      <c r="E27" s="542" t="s">
        <v>498</v>
      </c>
      <c r="F27" s="542"/>
      <c r="G27" s="542"/>
      <c r="H27" s="542" t="s">
        <v>499</v>
      </c>
      <c r="I27" s="542"/>
      <c r="J27" s="542"/>
      <c r="K27" s="543"/>
      <c r="L27" s="379"/>
      <c r="M27" s="762"/>
      <c r="N27" s="765" t="s">
        <v>564</v>
      </c>
      <c r="O27" s="766"/>
      <c r="P27" s="766"/>
      <c r="Q27" s="770"/>
      <c r="R27" s="770"/>
      <c r="S27" s="770" t="s">
        <v>502</v>
      </c>
      <c r="T27" s="770"/>
      <c r="U27" s="770"/>
      <c r="V27" s="770"/>
      <c r="W27" s="773"/>
      <c r="Y27" s="728"/>
      <c r="Z27" s="745" t="s">
        <v>565</v>
      </c>
      <c r="AA27" s="542"/>
      <c r="AB27" s="542"/>
      <c r="AC27" s="746" t="s">
        <v>520</v>
      </c>
      <c r="AD27" s="746"/>
      <c r="AE27" s="746"/>
      <c r="AF27" s="746" t="s">
        <v>523</v>
      </c>
      <c r="AG27" s="746"/>
      <c r="AH27" s="746"/>
      <c r="AI27" s="747"/>
    </row>
    <row r="28" spans="1:35" ht="36.75" customHeight="1" thickTop="1" thickBot="1">
      <c r="A28" s="596"/>
      <c r="B28" s="541"/>
      <c r="C28" s="542"/>
      <c r="D28" s="542"/>
      <c r="E28" s="542" t="s">
        <v>559</v>
      </c>
      <c r="F28" s="542"/>
      <c r="G28" s="542"/>
      <c r="H28" s="542"/>
      <c r="I28" s="542"/>
      <c r="J28" s="542"/>
      <c r="K28" s="543"/>
      <c r="L28" s="379"/>
      <c r="M28" s="762"/>
      <c r="N28" s="765"/>
      <c r="O28" s="766"/>
      <c r="P28" s="766"/>
      <c r="Q28" s="769"/>
      <c r="R28" s="769"/>
      <c r="S28" s="769" t="s">
        <v>561</v>
      </c>
      <c r="T28" s="769"/>
      <c r="U28" s="769"/>
      <c r="V28" s="769"/>
      <c r="W28" s="772"/>
      <c r="Y28" s="728"/>
      <c r="Z28" s="745"/>
      <c r="AA28" s="542"/>
      <c r="AB28" s="542"/>
      <c r="AC28" s="542" t="str">
        <f>AC26</f>
        <v>Если нет, что нужно?</v>
      </c>
      <c r="AD28" s="542"/>
      <c r="AE28" s="542"/>
      <c r="AF28" s="542" t="s">
        <v>562</v>
      </c>
      <c r="AG28" s="542"/>
      <c r="AH28" s="542"/>
      <c r="AI28" s="767"/>
    </row>
    <row r="29" spans="1:35" ht="20.25" thickTop="1" thickBot="1">
      <c r="A29" s="596"/>
      <c r="B29" s="541" t="s">
        <v>566</v>
      </c>
      <c r="C29" s="542"/>
      <c r="D29" s="542"/>
      <c r="E29" s="542" t="s">
        <v>498</v>
      </c>
      <c r="F29" s="542"/>
      <c r="G29" s="542"/>
      <c r="H29" s="542" t="s">
        <v>499</v>
      </c>
      <c r="I29" s="542"/>
      <c r="J29" s="542"/>
      <c r="K29" s="543"/>
      <c r="L29" s="379"/>
      <c r="M29" s="762"/>
      <c r="N29" s="765" t="s">
        <v>567</v>
      </c>
      <c r="O29" s="766"/>
      <c r="P29" s="766"/>
      <c r="Q29" s="770"/>
      <c r="R29" s="770"/>
      <c r="S29" s="770" t="s">
        <v>502</v>
      </c>
      <c r="T29" s="770"/>
      <c r="U29" s="770"/>
      <c r="V29" s="770"/>
      <c r="W29" s="773"/>
      <c r="Y29" s="728"/>
      <c r="Z29" s="745" t="s">
        <v>568</v>
      </c>
      <c r="AA29" s="542"/>
      <c r="AB29" s="542"/>
      <c r="AC29" s="746" t="s">
        <v>520</v>
      </c>
      <c r="AD29" s="746"/>
      <c r="AE29" s="746"/>
      <c r="AF29" s="746" t="s">
        <v>523</v>
      </c>
      <c r="AG29" s="746"/>
      <c r="AH29" s="746"/>
      <c r="AI29" s="747"/>
    </row>
    <row r="30" spans="1:35" ht="39.75" customHeight="1" thickTop="1" thickBot="1">
      <c r="A30" s="596"/>
      <c r="B30" s="541"/>
      <c r="C30" s="542"/>
      <c r="D30" s="542"/>
      <c r="E30" s="542" t="s">
        <v>559</v>
      </c>
      <c r="F30" s="542"/>
      <c r="G30" s="542"/>
      <c r="H30" s="542"/>
      <c r="I30" s="542"/>
      <c r="J30" s="542"/>
      <c r="K30" s="543"/>
      <c r="L30" s="379"/>
      <c r="M30" s="762"/>
      <c r="N30" s="729"/>
      <c r="O30" s="774"/>
      <c r="P30" s="774"/>
      <c r="Q30" s="775"/>
      <c r="R30" s="775"/>
      <c r="S30" s="775" t="s">
        <v>569</v>
      </c>
      <c r="T30" s="775"/>
      <c r="U30" s="775"/>
      <c r="V30" s="775"/>
      <c r="W30" s="776"/>
      <c r="Y30" s="728"/>
      <c r="Z30" s="733"/>
      <c r="AA30" s="734"/>
      <c r="AB30" s="734"/>
      <c r="AC30" s="734" t="str">
        <f>AC26</f>
        <v>Если нет, что нужно?</v>
      </c>
      <c r="AD30" s="734"/>
      <c r="AE30" s="734"/>
      <c r="AF30" s="757" t="s">
        <v>570</v>
      </c>
      <c r="AG30" s="757"/>
      <c r="AH30" s="757"/>
      <c r="AI30" s="758"/>
    </row>
    <row r="31" spans="1:35" ht="20.25" thickTop="1" thickBot="1">
      <c r="A31" s="596" t="s">
        <v>571</v>
      </c>
      <c r="B31" s="541" t="s">
        <v>572</v>
      </c>
      <c r="C31" s="542"/>
      <c r="D31" s="542"/>
      <c r="E31" s="542" t="s">
        <v>498</v>
      </c>
      <c r="F31" s="542"/>
      <c r="G31" s="542"/>
      <c r="H31" s="542" t="s">
        <v>499</v>
      </c>
      <c r="I31" s="542"/>
      <c r="J31" s="542"/>
      <c r="K31" s="543"/>
      <c r="L31" s="379"/>
      <c r="M31" s="723" t="s">
        <v>573</v>
      </c>
      <c r="N31" s="777" t="s">
        <v>574</v>
      </c>
      <c r="O31" s="778"/>
      <c r="P31" s="778"/>
      <c r="Q31" s="779" t="s">
        <v>501</v>
      </c>
      <c r="R31" s="779"/>
      <c r="S31" s="779"/>
      <c r="T31" s="779"/>
      <c r="U31" s="779"/>
      <c r="V31" s="779"/>
      <c r="W31" s="780"/>
      <c r="Y31" s="728" t="s">
        <v>473</v>
      </c>
      <c r="Z31" s="737" t="s">
        <v>575</v>
      </c>
      <c r="AA31" s="738"/>
      <c r="AB31" s="738"/>
      <c r="AC31" s="739" t="s">
        <v>520</v>
      </c>
      <c r="AD31" s="739"/>
      <c r="AE31" s="739"/>
      <c r="AF31" s="739" t="s">
        <v>523</v>
      </c>
      <c r="AG31" s="739"/>
      <c r="AH31" s="739"/>
      <c r="AI31" s="740"/>
    </row>
    <row r="32" spans="1:35" ht="20.25" thickTop="1" thickBot="1">
      <c r="A32" s="596"/>
      <c r="B32" s="541" t="s">
        <v>576</v>
      </c>
      <c r="C32" s="542"/>
      <c r="D32" s="542"/>
      <c r="E32" s="542" t="s">
        <v>498</v>
      </c>
      <c r="F32" s="542"/>
      <c r="G32" s="542"/>
      <c r="H32" s="542" t="s">
        <v>499</v>
      </c>
      <c r="I32" s="542"/>
      <c r="J32" s="542"/>
      <c r="K32" s="543"/>
      <c r="L32" s="379"/>
      <c r="M32" s="723"/>
      <c r="N32" s="741" t="s">
        <v>577</v>
      </c>
      <c r="O32" s="742"/>
      <c r="P32" s="742"/>
      <c r="Q32" s="779"/>
      <c r="R32" s="779"/>
      <c r="S32" s="779"/>
      <c r="T32" s="743" t="s">
        <v>502</v>
      </c>
      <c r="U32" s="743"/>
      <c r="V32" s="743"/>
      <c r="W32" s="744"/>
      <c r="Y32" s="728"/>
      <c r="Z32" s="745" t="s">
        <v>578</v>
      </c>
      <c r="AA32" s="542"/>
      <c r="AB32" s="542"/>
      <c r="AC32" s="746" t="s">
        <v>520</v>
      </c>
      <c r="AD32" s="746"/>
      <c r="AE32" s="746"/>
      <c r="AF32" s="746" t="s">
        <v>523</v>
      </c>
      <c r="AG32" s="746"/>
      <c r="AH32" s="746"/>
      <c r="AI32" s="747"/>
    </row>
    <row r="33" spans="1:35" ht="39.75" customHeight="1" thickTop="1" thickBot="1">
      <c r="A33" s="596"/>
      <c r="B33" s="541" t="s">
        <v>579</v>
      </c>
      <c r="C33" s="542"/>
      <c r="D33" s="542"/>
      <c r="E33" s="542" t="s">
        <v>498</v>
      </c>
      <c r="F33" s="542"/>
      <c r="G33" s="542"/>
      <c r="H33" s="542" t="s">
        <v>499</v>
      </c>
      <c r="I33" s="542"/>
      <c r="J33" s="542"/>
      <c r="K33" s="543"/>
      <c r="L33" s="379"/>
      <c r="M33" s="723"/>
      <c r="N33" s="729" t="s">
        <v>580</v>
      </c>
      <c r="O33" s="730"/>
      <c r="P33" s="730"/>
      <c r="Q33" s="731" t="s">
        <v>501</v>
      </c>
      <c r="R33" s="731"/>
      <c r="S33" s="731"/>
      <c r="T33" s="731"/>
      <c r="U33" s="731"/>
      <c r="V33" s="731"/>
      <c r="W33" s="732"/>
      <c r="Y33" s="728"/>
      <c r="Z33" s="733" t="s">
        <v>581</v>
      </c>
      <c r="AA33" s="734"/>
      <c r="AB33" s="734"/>
      <c r="AC33" s="735" t="s">
        <v>520</v>
      </c>
      <c r="AD33" s="735"/>
      <c r="AE33" s="735"/>
      <c r="AF33" s="735" t="s">
        <v>523</v>
      </c>
      <c r="AG33" s="735"/>
      <c r="AH33" s="735"/>
      <c r="AI33" s="736"/>
    </row>
    <row r="34" spans="1:35" ht="30" customHeight="1" thickTop="1" thickBot="1">
      <c r="A34" s="382"/>
      <c r="B34" s="386"/>
      <c r="C34" s="387"/>
      <c r="D34" s="387"/>
      <c r="E34" s="387"/>
      <c r="F34" s="387"/>
      <c r="G34" s="387"/>
      <c r="H34" s="387"/>
      <c r="I34" s="387"/>
      <c r="J34" s="387"/>
      <c r="K34" s="388"/>
      <c r="L34" s="379"/>
      <c r="M34" s="723" t="s">
        <v>582</v>
      </c>
      <c r="N34" s="724" t="s">
        <v>583</v>
      </c>
      <c r="O34" s="725"/>
      <c r="P34" s="725"/>
      <c r="Q34" s="726" t="s">
        <v>501</v>
      </c>
      <c r="R34" s="726"/>
      <c r="S34" s="726"/>
      <c r="T34" s="726"/>
      <c r="U34" s="726"/>
      <c r="V34" s="726"/>
      <c r="W34" s="727"/>
      <c r="Y34" s="728" t="s">
        <v>584</v>
      </c>
      <c r="Z34" s="737" t="s">
        <v>585</v>
      </c>
      <c r="AA34" s="738"/>
      <c r="AB34" s="738"/>
      <c r="AC34" s="739" t="s">
        <v>520</v>
      </c>
      <c r="AD34" s="739"/>
      <c r="AE34" s="739"/>
      <c r="AF34" s="739" t="s">
        <v>523</v>
      </c>
      <c r="AG34" s="739"/>
      <c r="AH34" s="739"/>
      <c r="AI34" s="740"/>
    </row>
    <row r="35" spans="1:35" ht="44.25" customHeight="1" thickTop="1" thickBot="1">
      <c r="A35" s="382"/>
      <c r="B35" s="386"/>
      <c r="C35" s="387"/>
      <c r="D35" s="387"/>
      <c r="E35" s="387"/>
      <c r="F35" s="387"/>
      <c r="G35" s="387"/>
      <c r="H35" s="387"/>
      <c r="I35" s="387"/>
      <c r="J35" s="387"/>
      <c r="K35" s="388"/>
      <c r="L35" s="379"/>
      <c r="M35" s="723"/>
      <c r="N35" s="741" t="s">
        <v>586</v>
      </c>
      <c r="O35" s="742"/>
      <c r="P35" s="742"/>
      <c r="Q35" s="743" t="s">
        <v>501</v>
      </c>
      <c r="R35" s="743"/>
      <c r="S35" s="743"/>
      <c r="T35" s="743"/>
      <c r="U35" s="743"/>
      <c r="V35" s="743"/>
      <c r="W35" s="744"/>
      <c r="Y35" s="728"/>
      <c r="Z35" s="745" t="s">
        <v>587</v>
      </c>
      <c r="AA35" s="542"/>
      <c r="AB35" s="542"/>
      <c r="AC35" s="746" t="s">
        <v>520</v>
      </c>
      <c r="AD35" s="746"/>
      <c r="AE35" s="746"/>
      <c r="AF35" s="746" t="s">
        <v>523</v>
      </c>
      <c r="AG35" s="746"/>
      <c r="AH35" s="746"/>
      <c r="AI35" s="747"/>
    </row>
    <row r="36" spans="1:35" ht="30" customHeight="1" thickTop="1" thickBot="1">
      <c r="A36" s="382"/>
      <c r="B36" s="386"/>
      <c r="C36" s="387"/>
      <c r="D36" s="387"/>
      <c r="E36" s="387"/>
      <c r="F36" s="387"/>
      <c r="G36" s="387"/>
      <c r="H36" s="387"/>
      <c r="I36" s="387"/>
      <c r="J36" s="387"/>
      <c r="K36" s="388"/>
      <c r="L36" s="379"/>
      <c r="M36" s="723"/>
      <c r="N36" s="741" t="s">
        <v>588</v>
      </c>
      <c r="O36" s="742"/>
      <c r="P36" s="742"/>
      <c r="Q36" s="743"/>
      <c r="R36" s="743"/>
      <c r="S36" s="743"/>
      <c r="T36" s="743" t="s">
        <v>502</v>
      </c>
      <c r="U36" s="743"/>
      <c r="V36" s="743"/>
      <c r="W36" s="744"/>
      <c r="Y36" s="728"/>
      <c r="Z36" s="745" t="s">
        <v>589</v>
      </c>
      <c r="AA36" s="542"/>
      <c r="AB36" s="542"/>
      <c r="AC36" s="746" t="s">
        <v>520</v>
      </c>
      <c r="AD36" s="746"/>
      <c r="AE36" s="746"/>
      <c r="AF36" s="746" t="s">
        <v>523</v>
      </c>
      <c r="AG36" s="746"/>
      <c r="AH36" s="746"/>
      <c r="AI36" s="747"/>
    </row>
    <row r="37" spans="1:35" ht="44.25" customHeight="1" thickTop="1" thickBot="1">
      <c r="A37" s="382"/>
      <c r="B37" s="386"/>
      <c r="C37" s="387"/>
      <c r="D37" s="387"/>
      <c r="E37" s="387"/>
      <c r="F37" s="387"/>
      <c r="G37" s="387"/>
      <c r="H37" s="387"/>
      <c r="I37" s="387"/>
      <c r="J37" s="387"/>
      <c r="K37" s="388"/>
      <c r="L37" s="379"/>
      <c r="M37" s="723"/>
      <c r="N37" s="729" t="s">
        <v>590</v>
      </c>
      <c r="O37" s="730"/>
      <c r="P37" s="730"/>
      <c r="Q37" s="731"/>
      <c r="R37" s="731"/>
      <c r="S37" s="731"/>
      <c r="T37" s="731" t="s">
        <v>502</v>
      </c>
      <c r="U37" s="731"/>
      <c r="V37" s="731"/>
      <c r="W37" s="732"/>
      <c r="Y37" s="728"/>
      <c r="Z37" s="733" t="s">
        <v>591</v>
      </c>
      <c r="AA37" s="734"/>
      <c r="AB37" s="734"/>
      <c r="AC37" s="735" t="s">
        <v>520</v>
      </c>
      <c r="AD37" s="735"/>
      <c r="AE37" s="735"/>
      <c r="AF37" s="735" t="s">
        <v>523</v>
      </c>
      <c r="AG37" s="735"/>
      <c r="AH37" s="735"/>
      <c r="AI37" s="736"/>
    </row>
    <row r="38" spans="1:35" ht="43.5" customHeight="1" thickTop="1" thickBot="1">
      <c r="A38" s="382" t="s">
        <v>592</v>
      </c>
      <c r="B38" s="386" t="s">
        <v>572</v>
      </c>
      <c r="C38" s="542" t="s">
        <v>498</v>
      </c>
      <c r="D38" s="542"/>
      <c r="E38" s="542" t="s">
        <v>499</v>
      </c>
      <c r="F38" s="542"/>
      <c r="G38" s="387" t="s">
        <v>593</v>
      </c>
      <c r="H38" s="542" t="s">
        <v>498</v>
      </c>
      <c r="I38" s="542"/>
      <c r="J38" s="542"/>
      <c r="K38" s="388" t="s">
        <v>499</v>
      </c>
      <c r="L38" s="379"/>
      <c r="M38" s="399" t="s">
        <v>594</v>
      </c>
      <c r="N38" s="783" t="s">
        <v>595</v>
      </c>
      <c r="O38" s="783"/>
      <c r="P38" s="783"/>
      <c r="Q38" s="401" t="s">
        <v>501</v>
      </c>
      <c r="R38" s="401"/>
      <c r="S38" s="783" t="s">
        <v>596</v>
      </c>
      <c r="T38" s="783"/>
      <c r="U38" s="783"/>
      <c r="V38" s="401" t="s">
        <v>501</v>
      </c>
      <c r="W38" s="401"/>
      <c r="Y38" s="380" t="s">
        <v>597</v>
      </c>
      <c r="Z38" s="715" t="s">
        <v>598</v>
      </c>
      <c r="AA38" s="715"/>
      <c r="AB38" s="715"/>
      <c r="AC38" s="383" t="s">
        <v>520</v>
      </c>
      <c r="AD38" s="383" t="s">
        <v>523</v>
      </c>
      <c r="AE38" s="715" t="s">
        <v>599</v>
      </c>
      <c r="AF38" s="715"/>
      <c r="AG38" s="715"/>
      <c r="AH38" s="383" t="s">
        <v>520</v>
      </c>
      <c r="AI38" s="383" t="s">
        <v>523</v>
      </c>
    </row>
    <row r="39" spans="1:35" ht="30.75" customHeight="1" thickTop="1" thickBot="1">
      <c r="A39" s="596" t="s">
        <v>600</v>
      </c>
      <c r="B39" s="635" t="s">
        <v>601</v>
      </c>
      <c r="C39" s="636"/>
      <c r="D39" s="636" t="s">
        <v>602</v>
      </c>
      <c r="E39" s="636"/>
      <c r="F39" s="636"/>
      <c r="G39" s="636" t="s">
        <v>603</v>
      </c>
      <c r="H39" s="636"/>
      <c r="I39" s="636" t="s">
        <v>604</v>
      </c>
      <c r="J39" s="636"/>
      <c r="K39" s="637"/>
      <c r="L39" s="390"/>
      <c r="M39" s="723" t="s">
        <v>605</v>
      </c>
      <c r="N39" s="781" t="s">
        <v>606</v>
      </c>
      <c r="O39" s="782"/>
      <c r="P39" s="782" t="s">
        <v>607</v>
      </c>
      <c r="Q39" s="782"/>
      <c r="R39" s="782"/>
      <c r="S39" s="782" t="s">
        <v>608</v>
      </c>
      <c r="T39" s="782"/>
      <c r="U39" s="782" t="s">
        <v>609</v>
      </c>
      <c r="V39" s="782"/>
      <c r="W39" s="788"/>
      <c r="Y39" s="728" t="s">
        <v>610</v>
      </c>
      <c r="Z39" s="789" t="s">
        <v>611</v>
      </c>
      <c r="AA39" s="790"/>
      <c r="AB39" s="790" t="s">
        <v>612</v>
      </c>
      <c r="AC39" s="790"/>
      <c r="AD39" s="790"/>
      <c r="AE39" s="790" t="s">
        <v>613</v>
      </c>
      <c r="AF39" s="790"/>
      <c r="AG39" s="790" t="s">
        <v>614</v>
      </c>
      <c r="AH39" s="790"/>
      <c r="AI39" s="800"/>
    </row>
    <row r="40" spans="1:35" ht="179.25" customHeight="1" thickTop="1" thickBot="1">
      <c r="A40" s="596"/>
      <c r="B40" s="642" t="s">
        <v>615</v>
      </c>
      <c r="C40" s="643"/>
      <c r="D40" s="643" t="s">
        <v>616</v>
      </c>
      <c r="E40" s="643"/>
      <c r="F40" s="643"/>
      <c r="G40" s="643" t="s">
        <v>616</v>
      </c>
      <c r="H40" s="643"/>
      <c r="I40" s="643" t="s">
        <v>616</v>
      </c>
      <c r="J40" s="643"/>
      <c r="K40" s="644"/>
      <c r="L40" s="391"/>
      <c r="M40" s="723"/>
      <c r="N40" s="784" t="s">
        <v>711</v>
      </c>
      <c r="O40" s="785"/>
      <c r="P40" s="786" t="s">
        <v>712</v>
      </c>
      <c r="Q40" s="787"/>
      <c r="R40" s="787"/>
      <c r="S40" s="786" t="s">
        <v>713</v>
      </c>
      <c r="T40" s="787"/>
      <c r="U40" s="786" t="s">
        <v>718</v>
      </c>
      <c r="V40" s="787"/>
      <c r="W40" s="796"/>
      <c r="Y40" s="728"/>
      <c r="Z40" s="797" t="s">
        <v>662</v>
      </c>
      <c r="AA40" s="734"/>
      <c r="AB40" s="798" t="s">
        <v>663</v>
      </c>
      <c r="AC40" s="734"/>
      <c r="AD40" s="734"/>
      <c r="AE40" s="798" t="s">
        <v>664</v>
      </c>
      <c r="AF40" s="734"/>
      <c r="AG40" s="798" t="s">
        <v>665</v>
      </c>
      <c r="AH40" s="734"/>
      <c r="AI40" s="799"/>
    </row>
    <row r="41" spans="1:35" ht="41.25" customHeight="1" thickTop="1" thickBot="1">
      <c r="A41" s="596" t="s">
        <v>617</v>
      </c>
      <c r="B41" s="541" t="s">
        <v>618</v>
      </c>
      <c r="C41" s="542"/>
      <c r="D41" s="542"/>
      <c r="E41" s="542"/>
      <c r="F41" s="542"/>
      <c r="G41" s="542" t="s">
        <v>619</v>
      </c>
      <c r="H41" s="542"/>
      <c r="I41" s="542"/>
      <c r="J41" s="542"/>
      <c r="K41" s="543"/>
      <c r="L41" s="379"/>
      <c r="M41" s="402" t="s">
        <v>620</v>
      </c>
      <c r="N41" s="802">
        <f>+ПаспортРУС!Z41</f>
        <v>0.44700000000000001</v>
      </c>
      <c r="O41" s="802"/>
      <c r="P41" s="802"/>
      <c r="Q41" s="802"/>
      <c r="R41" s="802"/>
      <c r="S41" s="802"/>
      <c r="T41" s="802"/>
      <c r="U41" s="802"/>
      <c r="V41" s="802"/>
      <c r="W41" s="802"/>
      <c r="Y41" s="392" t="s">
        <v>621</v>
      </c>
      <c r="Z41" s="791">
        <v>0.10839873986813564</v>
      </c>
      <c r="AA41" s="791"/>
      <c r="AB41" s="791"/>
      <c r="AC41" s="791"/>
      <c r="AD41" s="791"/>
      <c r="AE41" s="791"/>
      <c r="AF41" s="791"/>
      <c r="AG41" s="791"/>
      <c r="AH41" s="791"/>
      <c r="AI41" s="791"/>
    </row>
    <row r="42" spans="1:35" ht="41.25" customHeight="1" thickTop="1" thickBot="1">
      <c r="A42" s="596"/>
      <c r="B42" s="386"/>
      <c r="C42" s="387"/>
      <c r="D42" s="387"/>
      <c r="E42" s="387"/>
      <c r="F42" s="387"/>
      <c r="G42" s="387"/>
      <c r="H42" s="387"/>
      <c r="I42" s="387"/>
      <c r="J42" s="387"/>
      <c r="K42" s="388"/>
      <c r="L42" s="379"/>
      <c r="M42" s="402" t="s">
        <v>622</v>
      </c>
      <c r="N42" s="792">
        <f>+ПаспортРУС!Z42</f>
        <v>22905647</v>
      </c>
      <c r="O42" s="714"/>
      <c r="P42" s="714"/>
      <c r="Q42" s="714"/>
      <c r="R42" s="714"/>
      <c r="S42" s="714"/>
      <c r="T42" s="714"/>
      <c r="U42" s="714"/>
      <c r="V42" s="714"/>
      <c r="W42" s="714"/>
      <c r="Y42" s="392" t="s">
        <v>623</v>
      </c>
      <c r="Z42" s="793">
        <v>958739.36945756758</v>
      </c>
      <c r="AA42" s="715"/>
      <c r="AB42" s="715"/>
      <c r="AC42" s="715"/>
      <c r="AD42" s="715"/>
      <c r="AE42" s="715"/>
      <c r="AF42" s="715"/>
      <c r="AG42" s="715"/>
      <c r="AH42" s="715"/>
      <c r="AI42" s="715"/>
    </row>
    <row r="43" spans="1:35" ht="42" customHeight="1" thickTop="1" thickBot="1">
      <c r="A43" s="596"/>
      <c r="B43" s="386"/>
      <c r="C43" s="387"/>
      <c r="D43" s="387"/>
      <c r="E43" s="387"/>
      <c r="F43" s="387"/>
      <c r="G43" s="387"/>
      <c r="H43" s="387"/>
      <c r="I43" s="387"/>
      <c r="J43" s="387"/>
      <c r="K43" s="388"/>
      <c r="L43" s="379"/>
      <c r="M43" s="402" t="s">
        <v>624</v>
      </c>
      <c r="N43" s="794">
        <f>+ПаспортРУС!Z43</f>
        <v>8.06</v>
      </c>
      <c r="O43" s="714"/>
      <c r="P43" s="714"/>
      <c r="Q43" s="714"/>
      <c r="R43" s="714"/>
      <c r="S43" s="714"/>
      <c r="T43" s="714"/>
      <c r="U43" s="714"/>
      <c r="V43" s="714"/>
      <c r="W43" s="714"/>
      <c r="Y43" s="392" t="s">
        <v>68</v>
      </c>
      <c r="Z43" s="795">
        <v>1.2552798753725618</v>
      </c>
      <c r="AA43" s="715"/>
      <c r="AB43" s="715"/>
      <c r="AC43" s="715"/>
      <c r="AD43" s="715"/>
      <c r="AE43" s="715"/>
      <c r="AF43" s="715"/>
      <c r="AG43" s="715"/>
      <c r="AH43" s="715"/>
      <c r="AI43" s="715"/>
    </row>
    <row r="44" spans="1:35" ht="42.75" customHeight="1" thickTop="1" thickBot="1">
      <c r="A44" s="596" t="s">
        <v>625</v>
      </c>
      <c r="B44" s="541" t="s">
        <v>626</v>
      </c>
      <c r="C44" s="542"/>
      <c r="D44" s="542"/>
      <c r="E44" s="542" t="s">
        <v>498</v>
      </c>
      <c r="F44" s="542"/>
      <c r="G44" s="542"/>
      <c r="H44" s="542" t="s">
        <v>499</v>
      </c>
      <c r="I44" s="542"/>
      <c r="J44" s="542"/>
      <c r="K44" s="543"/>
      <c r="L44" s="379"/>
      <c r="M44" s="801" t="s">
        <v>627</v>
      </c>
      <c r="N44" s="724" t="s">
        <v>628</v>
      </c>
      <c r="O44" s="725"/>
      <c r="P44" s="725"/>
      <c r="Q44" s="809">
        <f>+ПаспортРУС!AC44</f>
        <v>3242870</v>
      </c>
      <c r="R44" s="810"/>
      <c r="S44" s="810"/>
      <c r="T44" s="810"/>
      <c r="U44" s="810"/>
      <c r="V44" s="810"/>
      <c r="W44" s="811"/>
      <c r="Y44" s="812" t="s">
        <v>629</v>
      </c>
      <c r="Z44" s="737" t="s">
        <v>54</v>
      </c>
      <c r="AA44" s="738"/>
      <c r="AB44" s="738"/>
      <c r="AC44" s="813">
        <v>1080875</v>
      </c>
      <c r="AD44" s="814"/>
      <c r="AE44" s="814"/>
      <c r="AF44" s="814"/>
      <c r="AG44" s="814"/>
      <c r="AH44" s="814"/>
      <c r="AI44" s="815"/>
    </row>
    <row r="45" spans="1:35" ht="33" customHeight="1" thickTop="1" thickBot="1">
      <c r="A45" s="596"/>
      <c r="B45" s="541" t="s">
        <v>630</v>
      </c>
      <c r="C45" s="542"/>
      <c r="D45" s="542"/>
      <c r="E45" s="542" t="s">
        <v>498</v>
      </c>
      <c r="F45" s="542"/>
      <c r="G45" s="542"/>
      <c r="H45" s="542" t="s">
        <v>499</v>
      </c>
      <c r="I45" s="542"/>
      <c r="J45" s="542"/>
      <c r="K45" s="543"/>
      <c r="L45" s="379"/>
      <c r="M45" s="801"/>
      <c r="N45" s="816" t="s">
        <v>631</v>
      </c>
      <c r="O45" s="742"/>
      <c r="P45" s="742"/>
      <c r="Q45" s="806">
        <f>+ПаспортРУС!AC45</f>
        <v>5000000</v>
      </c>
      <c r="R45" s="807"/>
      <c r="S45" s="807"/>
      <c r="T45" s="807"/>
      <c r="U45" s="807"/>
      <c r="V45" s="807"/>
      <c r="W45" s="808"/>
      <c r="Y45" s="812"/>
      <c r="Z45" s="817" t="s">
        <v>55</v>
      </c>
      <c r="AA45" s="542"/>
      <c r="AB45" s="542"/>
      <c r="AC45" s="803">
        <v>2183014</v>
      </c>
      <c r="AD45" s="804"/>
      <c r="AE45" s="804"/>
      <c r="AF45" s="804"/>
      <c r="AG45" s="804"/>
      <c r="AH45" s="804"/>
      <c r="AI45" s="805"/>
    </row>
    <row r="46" spans="1:35" ht="31.5" customHeight="1" thickTop="1" thickBot="1">
      <c r="A46" s="596"/>
      <c r="B46" s="541" t="s">
        <v>632</v>
      </c>
      <c r="C46" s="542"/>
      <c r="D46" s="542"/>
      <c r="E46" s="542" t="s">
        <v>498</v>
      </c>
      <c r="F46" s="542"/>
      <c r="G46" s="542"/>
      <c r="H46" s="542" t="s">
        <v>499</v>
      </c>
      <c r="I46" s="542"/>
      <c r="J46" s="542"/>
      <c r="K46" s="543"/>
      <c r="L46" s="379"/>
      <c r="M46" s="801"/>
      <c r="N46" s="741" t="s">
        <v>633</v>
      </c>
      <c r="O46" s="742"/>
      <c r="P46" s="742"/>
      <c r="Q46" s="806">
        <f>+ПаспортРУС!AC46</f>
        <v>6057130</v>
      </c>
      <c r="R46" s="807"/>
      <c r="S46" s="807"/>
      <c r="T46" s="807"/>
      <c r="U46" s="807"/>
      <c r="V46" s="807"/>
      <c r="W46" s="808"/>
      <c r="Y46" s="812"/>
      <c r="Z46" s="745" t="s">
        <v>634</v>
      </c>
      <c r="AA46" s="542"/>
      <c r="AB46" s="542"/>
      <c r="AC46" s="803">
        <v>0</v>
      </c>
      <c r="AD46" s="804"/>
      <c r="AE46" s="804"/>
      <c r="AF46" s="804"/>
      <c r="AG46" s="804"/>
      <c r="AH46" s="804"/>
      <c r="AI46" s="805"/>
    </row>
    <row r="47" spans="1:35" ht="39" customHeight="1" thickTop="1" thickBot="1">
      <c r="A47" s="382"/>
      <c r="B47" s="386"/>
      <c r="C47" s="387"/>
      <c r="D47" s="387"/>
      <c r="E47" s="387"/>
      <c r="F47" s="387"/>
      <c r="G47" s="387"/>
      <c r="H47" s="387"/>
      <c r="I47" s="387"/>
      <c r="J47" s="387"/>
      <c r="K47" s="388"/>
      <c r="L47" s="379"/>
      <c r="M47" s="723" t="s">
        <v>635</v>
      </c>
      <c r="N47" s="829" t="s">
        <v>653</v>
      </c>
      <c r="O47" s="830"/>
      <c r="P47" s="831"/>
      <c r="Q47" s="829" t="s">
        <v>637</v>
      </c>
      <c r="R47" s="830"/>
      <c r="S47" s="831"/>
      <c r="T47" s="829" t="s">
        <v>638</v>
      </c>
      <c r="U47" s="830"/>
      <c r="V47" s="830"/>
      <c r="W47" s="831"/>
      <c r="Y47" s="728" t="s">
        <v>639</v>
      </c>
      <c r="Z47" s="818" t="s">
        <v>640</v>
      </c>
      <c r="AA47" s="814"/>
      <c r="AB47" s="815"/>
      <c r="AC47" s="818" t="s">
        <v>641</v>
      </c>
      <c r="AD47" s="814"/>
      <c r="AE47" s="815"/>
      <c r="AF47" s="819" t="s">
        <v>642</v>
      </c>
      <c r="AG47" s="814"/>
      <c r="AH47" s="814"/>
      <c r="AI47" s="815"/>
    </row>
    <row r="48" spans="1:35" ht="54.75" customHeight="1" thickTop="1" thickBot="1">
      <c r="A48" s="382"/>
      <c r="B48" s="386"/>
      <c r="C48" s="387"/>
      <c r="D48" s="387"/>
      <c r="E48" s="387"/>
      <c r="F48" s="387"/>
      <c r="G48" s="387"/>
      <c r="H48" s="387"/>
      <c r="I48" s="387"/>
      <c r="J48" s="387"/>
      <c r="K48" s="388"/>
      <c r="L48" s="379"/>
      <c r="M48" s="723"/>
      <c r="N48" s="395" t="s">
        <v>719</v>
      </c>
      <c r="O48" s="698" t="s">
        <v>720</v>
      </c>
      <c r="P48" s="699"/>
      <c r="Q48" s="395" t="s">
        <v>716</v>
      </c>
      <c r="R48" s="820" t="s">
        <v>645</v>
      </c>
      <c r="S48" s="821"/>
      <c r="T48" s="822" t="s">
        <v>646</v>
      </c>
      <c r="U48" s="823"/>
      <c r="V48" s="823"/>
      <c r="W48" s="824"/>
      <c r="Y48" s="728"/>
      <c r="Z48" s="394" t="s">
        <v>643</v>
      </c>
      <c r="AA48" s="825" t="s">
        <v>644</v>
      </c>
      <c r="AB48" s="826"/>
      <c r="AC48" s="394" t="s">
        <v>643</v>
      </c>
      <c r="AD48" s="825" t="s">
        <v>645</v>
      </c>
      <c r="AE48" s="826"/>
      <c r="AF48" s="394" t="s">
        <v>643</v>
      </c>
      <c r="AG48" s="827" t="s">
        <v>646</v>
      </c>
      <c r="AH48" s="827"/>
      <c r="AI48" s="828"/>
    </row>
    <row r="49" spans="1:12" ht="15" thickTop="1">
      <c r="A49" s="379"/>
      <c r="B49" s="379"/>
      <c r="C49" s="379"/>
      <c r="D49" s="379"/>
      <c r="E49" s="379"/>
      <c r="F49" s="379"/>
      <c r="G49" s="379"/>
      <c r="H49" s="379"/>
      <c r="I49" s="379"/>
      <c r="J49" s="379"/>
      <c r="K49" s="379"/>
      <c r="L49" s="379"/>
    </row>
  </sheetData>
  <mergeCells count="283">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Z39:AA39"/>
    <mergeCell ref="Z41:AI41"/>
    <mergeCell ref="N42:W42"/>
    <mergeCell ref="Z42:AI42"/>
    <mergeCell ref="N43:W43"/>
    <mergeCell ref="Z43:AI43"/>
    <mergeCell ref="S40:T40"/>
    <mergeCell ref="U40:W40"/>
    <mergeCell ref="Z40:AA40"/>
    <mergeCell ref="AB40:AD40"/>
    <mergeCell ref="AE40:AF40"/>
    <mergeCell ref="AG40:AI40"/>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Q31:S31"/>
    <mergeCell ref="T31:W31"/>
    <mergeCell ref="Y31:Y33"/>
    <mergeCell ref="Z31:AB31"/>
    <mergeCell ref="AC31:AE31"/>
    <mergeCell ref="AF31:AI31"/>
    <mergeCell ref="Q32:S32"/>
    <mergeCell ref="T32:W32"/>
    <mergeCell ref="Z32:AB32"/>
    <mergeCell ref="AC32:AE32"/>
    <mergeCell ref="AF32:AI32"/>
    <mergeCell ref="Q33:S33"/>
    <mergeCell ref="T33:W33"/>
    <mergeCell ref="Z33:AB33"/>
    <mergeCell ref="AC33:AE33"/>
    <mergeCell ref="AF33:AI33"/>
    <mergeCell ref="A31:A33"/>
    <mergeCell ref="B31:D31"/>
    <mergeCell ref="E31:G31"/>
    <mergeCell ref="H31:K31"/>
    <mergeCell ref="M31:M33"/>
    <mergeCell ref="N31:P31"/>
    <mergeCell ref="B32:D32"/>
    <mergeCell ref="E32:G32"/>
    <mergeCell ref="H32:K32"/>
    <mergeCell ref="N32:P32"/>
    <mergeCell ref="B33:D33"/>
    <mergeCell ref="E33:G33"/>
    <mergeCell ref="H33:K33"/>
    <mergeCell ref="N33:P33"/>
    <mergeCell ref="AF29:AI29"/>
    <mergeCell ref="E30:G30"/>
    <mergeCell ref="H30:K30"/>
    <mergeCell ref="AC30:AE30"/>
    <mergeCell ref="AF30:AI30"/>
    <mergeCell ref="B29:D30"/>
    <mergeCell ref="E29:G29"/>
    <mergeCell ref="H29:K29"/>
    <mergeCell ref="N29:P30"/>
    <mergeCell ref="Z29:AB30"/>
    <mergeCell ref="Q29:R29"/>
    <mergeCell ref="Q30:R30"/>
    <mergeCell ref="S29:W29"/>
    <mergeCell ref="S30:W30"/>
    <mergeCell ref="AF25:AI25"/>
    <mergeCell ref="E26:G26"/>
    <mergeCell ref="H26:K26"/>
    <mergeCell ref="AC26:AE26"/>
    <mergeCell ref="AF26:AI26"/>
    <mergeCell ref="Z27:AB28"/>
    <mergeCell ref="AC27:AE27"/>
    <mergeCell ref="AF27:AI27"/>
    <mergeCell ref="E28:G28"/>
    <mergeCell ref="H28:K28"/>
    <mergeCell ref="AC28:AE28"/>
    <mergeCell ref="AF28:AI28"/>
    <mergeCell ref="Q25:R25"/>
    <mergeCell ref="Q26:R26"/>
    <mergeCell ref="Q27:R27"/>
    <mergeCell ref="Q28:R28"/>
    <mergeCell ref="S25:W25"/>
    <mergeCell ref="S26:W26"/>
    <mergeCell ref="S27:W27"/>
    <mergeCell ref="S28:W28"/>
    <mergeCell ref="Z21:AB21"/>
    <mergeCell ref="AC21:AE21"/>
    <mergeCell ref="A25:A30"/>
    <mergeCell ref="B25:D26"/>
    <mergeCell ref="E25:G25"/>
    <mergeCell ref="H25:K25"/>
    <mergeCell ref="M25:M30"/>
    <mergeCell ref="N25:P26"/>
    <mergeCell ref="B27:D28"/>
    <mergeCell ref="E27:G27"/>
    <mergeCell ref="H27:K27"/>
    <mergeCell ref="N27:P28"/>
    <mergeCell ref="Y25:Y30"/>
    <mergeCell ref="Z25:AB26"/>
    <mergeCell ref="AC25:AE25"/>
    <mergeCell ref="AC29:AE29"/>
    <mergeCell ref="T20:W20"/>
    <mergeCell ref="Z20:AB20"/>
    <mergeCell ref="AC20:AE20"/>
    <mergeCell ref="AF20:AI20"/>
    <mergeCell ref="A23:A24"/>
    <mergeCell ref="B23:F23"/>
    <mergeCell ref="G23:K23"/>
    <mergeCell ref="M23:M24"/>
    <mergeCell ref="N23:W23"/>
    <mergeCell ref="Y23:Y24"/>
    <mergeCell ref="B21:K21"/>
    <mergeCell ref="M21:M22"/>
    <mergeCell ref="N21:W21"/>
    <mergeCell ref="Y21:Y22"/>
    <mergeCell ref="Z23:AD23"/>
    <mergeCell ref="AE23:AI23"/>
    <mergeCell ref="B24:K24"/>
    <mergeCell ref="N24:W24"/>
    <mergeCell ref="Z24:AD24"/>
    <mergeCell ref="AE24:AI24"/>
    <mergeCell ref="AF21:AI21"/>
    <mergeCell ref="N22:W22"/>
    <mergeCell ref="Z22:AB22"/>
    <mergeCell ref="AC22:AI22"/>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B11:K11"/>
    <mergeCell ref="O11:W11"/>
    <mergeCell ref="AA11:AI11"/>
    <mergeCell ref="B12:K12"/>
    <mergeCell ref="O12:W12"/>
    <mergeCell ref="AA12:AI12"/>
    <mergeCell ref="B10:D10"/>
    <mergeCell ref="E10:G10"/>
    <mergeCell ref="H10:K10"/>
    <mergeCell ref="N10:W10"/>
    <mergeCell ref="Z10:AD10"/>
    <mergeCell ref="AE10:AG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11811023622047245" right="0.31496062992125984" top="0.59055118110236227" bottom="0.59055118110236227" header="0.31496062992125984" footer="0.11811023622047245"/>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2E0EA-CEB8-4D8D-9CDF-B8911DFCD282}">
  <sheetPr>
    <pageSetUpPr fitToPage="1"/>
  </sheetPr>
  <dimension ref="A1:N56"/>
  <sheetViews>
    <sheetView topLeftCell="A19" zoomScale="85" zoomScaleNormal="85" workbookViewId="0">
      <selection activeCell="C26" sqref="C26"/>
    </sheetView>
  </sheetViews>
  <sheetFormatPr defaultRowHeight="15" outlineLevelRow="1"/>
  <cols>
    <col min="1" max="1" width="44.140625" style="1" customWidth="1"/>
    <col min="2" max="2" width="20.140625" style="1" customWidth="1"/>
    <col min="3" max="3" width="20.85546875" style="1" customWidth="1"/>
    <col min="4" max="4" width="23.42578125" style="1" customWidth="1"/>
    <col min="5" max="5" width="24.5703125" style="1" customWidth="1"/>
    <col min="6" max="6" width="22.140625" style="1" customWidth="1"/>
    <col min="7" max="7" width="22.85546875" style="1" customWidth="1"/>
    <col min="8" max="8" width="25.42578125" style="1" customWidth="1"/>
    <col min="9" max="9" width="23" style="1" customWidth="1"/>
    <col min="10" max="10" width="22.28515625" style="1" customWidth="1"/>
    <col min="11" max="11" width="23.140625" style="1" customWidth="1"/>
    <col min="12" max="12" width="27.28515625" style="1" customWidth="1"/>
    <col min="13" max="13" width="20.7109375" style="1" customWidth="1"/>
    <col min="14" max="16384" width="9.140625" style="1"/>
  </cols>
  <sheetData>
    <row r="1" spans="1:13" ht="54" customHeight="1" thickBot="1">
      <c r="A1" s="403" t="s">
        <v>678</v>
      </c>
      <c r="B1" s="404" t="e">
        <f>#REF!</f>
        <v>#REF!</v>
      </c>
      <c r="C1" s="405" t="e">
        <f>#REF!</f>
        <v>#REF!</v>
      </c>
      <c r="D1" s="406"/>
      <c r="E1" s="406"/>
      <c r="F1" s="406"/>
      <c r="G1" s="406"/>
      <c r="H1" s="406"/>
      <c r="I1" s="407" t="e">
        <f>#REF!</f>
        <v>#REF!</v>
      </c>
      <c r="J1" s="408"/>
      <c r="K1" s="409"/>
      <c r="L1" s="406"/>
      <c r="M1" s="410"/>
    </row>
    <row r="2" spans="1:13" s="4" customFormat="1" ht="41.25" customHeight="1" thickBot="1">
      <c r="A2" s="411" t="e">
        <f>#REF!</f>
        <v>#REF!</v>
      </c>
      <c r="B2" s="412" t="s">
        <v>677</v>
      </c>
      <c r="C2" s="413" t="s">
        <v>667</v>
      </c>
      <c r="D2" s="413" t="s">
        <v>670</v>
      </c>
      <c r="E2" s="413" t="s">
        <v>671</v>
      </c>
      <c r="F2" s="413" t="s">
        <v>672</v>
      </c>
      <c r="G2" s="413" t="s">
        <v>668</v>
      </c>
      <c r="H2" s="413" t="s">
        <v>679</v>
      </c>
      <c r="I2" s="413" t="s">
        <v>673</v>
      </c>
      <c r="J2" s="413" t="s">
        <v>674</v>
      </c>
      <c r="K2" s="413" t="s">
        <v>669</v>
      </c>
      <c r="L2" s="414" t="s">
        <v>675</v>
      </c>
      <c r="M2" s="415" t="s">
        <v>666</v>
      </c>
    </row>
    <row r="3" spans="1:13" s="2" customFormat="1" ht="18">
      <c r="A3" s="416" t="s">
        <v>676</v>
      </c>
      <c r="B3" s="417"/>
      <c r="C3" s="417" t="e">
        <f>#REF!</f>
        <v>#REF!</v>
      </c>
      <c r="D3" s="417" t="e">
        <f>#REF!</f>
        <v>#REF!</v>
      </c>
      <c r="E3" s="417" t="e">
        <f>#REF!</f>
        <v>#REF!</v>
      </c>
      <c r="F3" s="417" t="e">
        <f>#REF!</f>
        <v>#REF!</v>
      </c>
      <c r="G3" s="417" t="e">
        <f>#REF!</f>
        <v>#REF!</v>
      </c>
      <c r="H3" s="417" t="e">
        <f>#REF!</f>
        <v>#REF!</v>
      </c>
      <c r="I3" s="417" t="e">
        <f>#REF!</f>
        <v>#REF!</v>
      </c>
      <c r="J3" s="417" t="e">
        <f>#REF!</f>
        <v>#REF!</v>
      </c>
      <c r="K3" s="417" t="e">
        <f>#REF!</f>
        <v>#REF!</v>
      </c>
      <c r="L3" s="417" t="e">
        <f>#REF!</f>
        <v>#REF!</v>
      </c>
      <c r="M3" s="418" t="e">
        <f>SUM(C3:L3)</f>
        <v>#REF!</v>
      </c>
    </row>
    <row r="4" spans="1:13" s="2" customFormat="1" ht="18" customHeight="1">
      <c r="A4" s="416" t="s">
        <v>681</v>
      </c>
      <c r="B4" s="419"/>
      <c r="C4" s="419"/>
      <c r="D4" s="419"/>
      <c r="E4" s="419"/>
      <c r="F4" s="419"/>
      <c r="G4" s="419"/>
      <c r="H4" s="419"/>
      <c r="I4" s="419"/>
      <c r="J4" s="419"/>
      <c r="K4" s="419"/>
      <c r="L4" s="420"/>
      <c r="M4" s="421"/>
    </row>
    <row r="5" spans="1:13" s="2" customFormat="1" ht="18">
      <c r="A5" s="422" t="s">
        <v>680</v>
      </c>
      <c r="B5" s="423" t="e">
        <f>#REF!</f>
        <v>#REF!</v>
      </c>
      <c r="C5" s="423" t="e">
        <f>#REF!</f>
        <v>#REF!</v>
      </c>
      <c r="D5" s="423" t="e">
        <f>#REF!</f>
        <v>#REF!</v>
      </c>
      <c r="E5" s="423" t="e">
        <f>#REF!</f>
        <v>#REF!</v>
      </c>
      <c r="F5" s="423" t="e">
        <f>#REF!</f>
        <v>#REF!</v>
      </c>
      <c r="G5" s="423" t="e">
        <f>#REF!</f>
        <v>#REF!</v>
      </c>
      <c r="H5" s="423" t="e">
        <f>#REF!</f>
        <v>#REF!</v>
      </c>
      <c r="I5" s="423" t="e">
        <f>#REF!</f>
        <v>#REF!</v>
      </c>
      <c r="J5" s="423" t="e">
        <f>#REF!</f>
        <v>#REF!</v>
      </c>
      <c r="K5" s="423" t="e">
        <f>#REF!</f>
        <v>#REF!</v>
      </c>
      <c r="L5" s="424" t="e">
        <f>#REF!</f>
        <v>#REF!</v>
      </c>
      <c r="M5" s="421" t="e">
        <f t="shared" ref="M5:M28" si="0">SUM(C5:L5)</f>
        <v>#REF!</v>
      </c>
    </row>
    <row r="6" spans="1:13" s="2" customFormat="1" ht="33.75" customHeight="1">
      <c r="A6" s="416" t="s">
        <v>682</v>
      </c>
      <c r="B6" s="419" t="e">
        <f>B3-B5</f>
        <v>#REF!</v>
      </c>
      <c r="C6" s="419" t="e">
        <f t="shared" ref="C6:L6" si="1">C3-C5</f>
        <v>#REF!</v>
      </c>
      <c r="D6" s="419" t="e">
        <f t="shared" si="1"/>
        <v>#REF!</v>
      </c>
      <c r="E6" s="419" t="e">
        <f t="shared" si="1"/>
        <v>#REF!</v>
      </c>
      <c r="F6" s="419" t="e">
        <f t="shared" si="1"/>
        <v>#REF!</v>
      </c>
      <c r="G6" s="419" t="e">
        <f t="shared" si="1"/>
        <v>#REF!</v>
      </c>
      <c r="H6" s="419" t="e">
        <f t="shared" si="1"/>
        <v>#REF!</v>
      </c>
      <c r="I6" s="419" t="e">
        <f t="shared" si="1"/>
        <v>#REF!</v>
      </c>
      <c r="J6" s="419" t="e">
        <f t="shared" si="1"/>
        <v>#REF!</v>
      </c>
      <c r="K6" s="419" t="e">
        <f t="shared" si="1"/>
        <v>#REF!</v>
      </c>
      <c r="L6" s="420" t="e">
        <f t="shared" si="1"/>
        <v>#REF!</v>
      </c>
      <c r="M6" s="418" t="e">
        <f t="shared" si="0"/>
        <v>#REF!</v>
      </c>
    </row>
    <row r="7" spans="1:13" s="2" customFormat="1" ht="37.5" customHeight="1">
      <c r="A7" s="425" t="e">
        <f>#REF!</f>
        <v>#REF!</v>
      </c>
      <c r="B7" s="417" t="s">
        <v>7</v>
      </c>
      <c r="C7" s="417"/>
      <c r="D7" s="417"/>
      <c r="E7" s="417"/>
      <c r="F7" s="417"/>
      <c r="G7" s="417"/>
      <c r="H7" s="417"/>
      <c r="I7" s="417"/>
      <c r="J7" s="417"/>
      <c r="K7" s="417"/>
      <c r="L7" s="421"/>
      <c r="M7" s="421"/>
    </row>
    <row r="8" spans="1:13" s="2" customFormat="1" ht="78" customHeight="1">
      <c r="A8" s="422" t="s">
        <v>683</v>
      </c>
      <c r="B8" s="423"/>
      <c r="C8" s="423" t="e">
        <f>#REF!-#REF!</f>
        <v>#REF!</v>
      </c>
      <c r="D8" s="423" t="e">
        <f>#REF!-#REF!</f>
        <v>#REF!</v>
      </c>
      <c r="E8" s="423" t="e">
        <f>#REF!-#REF!</f>
        <v>#REF!</v>
      </c>
      <c r="F8" s="423" t="e">
        <f>#REF!-#REF!</f>
        <v>#REF!</v>
      </c>
      <c r="G8" s="423" t="e">
        <f>#REF!-#REF!</f>
        <v>#REF!</v>
      </c>
      <c r="H8" s="423" t="e">
        <f>#REF!-#REF!</f>
        <v>#REF!</v>
      </c>
      <c r="I8" s="423" t="e">
        <f>#REF!-#REF!</f>
        <v>#REF!</v>
      </c>
      <c r="J8" s="423" t="e">
        <f>#REF!-#REF!</f>
        <v>#REF!</v>
      </c>
      <c r="K8" s="423" t="e">
        <f>#REF!-#REF!</f>
        <v>#REF!</v>
      </c>
      <c r="L8" s="424" t="e">
        <f>#REF!-#REF!</f>
        <v>#REF!</v>
      </c>
      <c r="M8" s="421" t="e">
        <f t="shared" si="0"/>
        <v>#REF!</v>
      </c>
    </row>
    <row r="9" spans="1:13" s="2" customFormat="1" ht="54.75" customHeight="1">
      <c r="A9" s="416" t="s">
        <v>684</v>
      </c>
      <c r="B9" s="419" t="e">
        <f t="shared" ref="B9:L9" si="2">B6-B8</f>
        <v>#REF!</v>
      </c>
      <c r="C9" s="419" t="e">
        <f t="shared" si="2"/>
        <v>#REF!</v>
      </c>
      <c r="D9" s="419" t="e">
        <f t="shared" si="2"/>
        <v>#REF!</v>
      </c>
      <c r="E9" s="419" t="e">
        <f t="shared" si="2"/>
        <v>#REF!</v>
      </c>
      <c r="F9" s="419" t="e">
        <f t="shared" si="2"/>
        <v>#REF!</v>
      </c>
      <c r="G9" s="419" t="e">
        <f t="shared" si="2"/>
        <v>#REF!</v>
      </c>
      <c r="H9" s="419" t="e">
        <f t="shared" si="2"/>
        <v>#REF!</v>
      </c>
      <c r="I9" s="419" t="e">
        <f t="shared" si="2"/>
        <v>#REF!</v>
      </c>
      <c r="J9" s="419" t="e">
        <f t="shared" si="2"/>
        <v>#REF!</v>
      </c>
      <c r="K9" s="419" t="e">
        <f t="shared" si="2"/>
        <v>#REF!</v>
      </c>
      <c r="L9" s="420" t="e">
        <f t="shared" si="2"/>
        <v>#REF!</v>
      </c>
      <c r="M9" s="418" t="e">
        <f t="shared" si="0"/>
        <v>#REF!</v>
      </c>
    </row>
    <row r="10" spans="1:13" s="2" customFormat="1" ht="39.75" customHeight="1">
      <c r="A10" s="416" t="e">
        <f>#REF!</f>
        <v>#REF!</v>
      </c>
      <c r="B10" s="419"/>
      <c r="C10" s="419" t="e">
        <f>#REF!</f>
        <v>#REF!</v>
      </c>
      <c r="D10" s="419" t="e">
        <f>#REF!</f>
        <v>#REF!</v>
      </c>
      <c r="E10" s="419" t="e">
        <f>#REF!</f>
        <v>#REF!</v>
      </c>
      <c r="F10" s="419" t="e">
        <f>#REF!</f>
        <v>#REF!</v>
      </c>
      <c r="G10" s="419" t="e">
        <f>#REF!</f>
        <v>#REF!</v>
      </c>
      <c r="H10" s="419" t="e">
        <f>#REF!</f>
        <v>#REF!</v>
      </c>
      <c r="I10" s="419" t="e">
        <f>#REF!</f>
        <v>#REF!</v>
      </c>
      <c r="J10" s="419" t="e">
        <f>#REF!</f>
        <v>#REF!</v>
      </c>
      <c r="K10" s="419" t="e">
        <f>#REF!</f>
        <v>#REF!</v>
      </c>
      <c r="L10" s="420" t="e">
        <f>#REF!</f>
        <v>#REF!</v>
      </c>
      <c r="M10" s="421" t="e">
        <f t="shared" si="0"/>
        <v>#REF!</v>
      </c>
    </row>
    <row r="11" spans="1:13" s="2" customFormat="1" ht="55.5" customHeight="1">
      <c r="A11" s="422" t="e">
        <f>#REF!</f>
        <v>#REF!</v>
      </c>
      <c r="B11" s="423"/>
      <c r="C11" s="423" t="e">
        <f>#REF!</f>
        <v>#REF!</v>
      </c>
      <c r="D11" s="423" t="e">
        <f>#REF!</f>
        <v>#REF!</v>
      </c>
      <c r="E11" s="423" t="e">
        <f>#REF!</f>
        <v>#REF!</v>
      </c>
      <c r="F11" s="423" t="e">
        <f>#REF!</f>
        <v>#REF!</v>
      </c>
      <c r="G11" s="423" t="e">
        <f>#REF!</f>
        <v>#REF!</v>
      </c>
      <c r="H11" s="423" t="e">
        <f>#REF!</f>
        <v>#REF!</v>
      </c>
      <c r="I11" s="423" t="e">
        <f>#REF!</f>
        <v>#REF!</v>
      </c>
      <c r="J11" s="423" t="e">
        <f>#REF!</f>
        <v>#REF!</v>
      </c>
      <c r="K11" s="423" t="e">
        <f>#REF!</f>
        <v>#REF!</v>
      </c>
      <c r="L11" s="424" t="e">
        <f>#REF!</f>
        <v>#REF!</v>
      </c>
      <c r="M11" s="421" t="e">
        <f t="shared" si="0"/>
        <v>#REF!</v>
      </c>
    </row>
    <row r="12" spans="1:13" s="2" customFormat="1" ht="42.75" customHeight="1">
      <c r="A12" s="416" t="s">
        <v>685</v>
      </c>
      <c r="B12" s="419"/>
      <c r="C12" s="419"/>
      <c r="D12" s="419"/>
      <c r="E12" s="419"/>
      <c r="F12" s="419"/>
      <c r="G12" s="419"/>
      <c r="H12" s="419"/>
      <c r="I12" s="419"/>
      <c r="J12" s="419"/>
      <c r="K12" s="419"/>
      <c r="L12" s="420"/>
      <c r="M12" s="421"/>
    </row>
    <row r="13" spans="1:13" s="2" customFormat="1" ht="18">
      <c r="A13" s="416" t="s">
        <v>686</v>
      </c>
      <c r="B13" s="419" t="e">
        <f>B9-B10-B11</f>
        <v>#REF!</v>
      </c>
      <c r="C13" s="419" t="e">
        <f>C9-C10-C11</f>
        <v>#REF!</v>
      </c>
      <c r="D13" s="419" t="e">
        <f t="shared" ref="D13:I13" si="3">D9-D10-D11</f>
        <v>#REF!</v>
      </c>
      <c r="E13" s="419" t="e">
        <f t="shared" si="3"/>
        <v>#REF!</v>
      </c>
      <c r="F13" s="419" t="e">
        <f t="shared" si="3"/>
        <v>#REF!</v>
      </c>
      <c r="G13" s="419" t="e">
        <f t="shared" si="3"/>
        <v>#REF!</v>
      </c>
      <c r="H13" s="419" t="e">
        <f t="shared" si="3"/>
        <v>#REF!</v>
      </c>
      <c r="I13" s="419" t="e">
        <f t="shared" si="3"/>
        <v>#REF!</v>
      </c>
      <c r="J13" s="419" t="e">
        <f>J9-J10-J11</f>
        <v>#REF!</v>
      </c>
      <c r="K13" s="419" t="e">
        <f>K9-K10-K11</f>
        <v>#REF!</v>
      </c>
      <c r="L13" s="420" t="e">
        <f>L9-L10-L11</f>
        <v>#REF!</v>
      </c>
      <c r="M13" s="418" t="e">
        <f t="shared" si="0"/>
        <v>#REF!</v>
      </c>
    </row>
    <row r="14" spans="1:13" s="2" customFormat="1" ht="23.25" customHeight="1">
      <c r="A14" s="416"/>
      <c r="B14" s="419"/>
      <c r="C14" s="419"/>
      <c r="D14" s="419"/>
      <c r="E14" s="419"/>
      <c r="F14" s="419"/>
      <c r="G14" s="419"/>
      <c r="H14" s="419"/>
      <c r="I14" s="419"/>
      <c r="J14" s="419"/>
      <c r="K14" s="419"/>
      <c r="L14" s="420"/>
      <c r="M14" s="421"/>
    </row>
    <row r="15" spans="1:13" s="2" customFormat="1" ht="38.25" customHeight="1">
      <c r="A15" s="416" t="s">
        <v>687</v>
      </c>
      <c r="B15" s="419" t="e">
        <f>#REF!</f>
        <v>#REF!</v>
      </c>
      <c r="C15" s="419"/>
      <c r="D15" s="419"/>
      <c r="E15" s="419"/>
      <c r="F15" s="419"/>
      <c r="G15" s="419"/>
      <c r="H15" s="419"/>
      <c r="I15" s="419"/>
      <c r="J15" s="419"/>
      <c r="K15" s="419"/>
      <c r="L15" s="420"/>
      <c r="M15" s="421"/>
    </row>
    <row r="16" spans="1:13" s="2" customFormat="1" ht="39.75" customHeight="1">
      <c r="A16" s="416" t="s">
        <v>688</v>
      </c>
      <c r="B16" s="419" t="e">
        <f>#REF!</f>
        <v>#REF!</v>
      </c>
      <c r="C16" s="419"/>
      <c r="D16" s="419"/>
      <c r="E16" s="426"/>
      <c r="F16" s="426"/>
      <c r="G16" s="426"/>
      <c r="H16" s="426"/>
      <c r="I16" s="426"/>
      <c r="J16" s="426"/>
      <c r="K16" s="426"/>
      <c r="L16" s="427"/>
      <c r="M16" s="421"/>
    </row>
    <row r="17" spans="1:14" s="2" customFormat="1" ht="51" customHeight="1">
      <c r="A17" s="416" t="s">
        <v>689</v>
      </c>
      <c r="B17" s="419" t="e">
        <f>#REF!</f>
        <v>#REF!</v>
      </c>
      <c r="C17" s="419" t="e">
        <f>#REF!</f>
        <v>#REF!</v>
      </c>
      <c r="D17" s="419" t="e">
        <f>#REF!</f>
        <v>#REF!</v>
      </c>
      <c r="E17" s="419" t="e">
        <f>#REF!</f>
        <v>#REF!</v>
      </c>
      <c r="F17" s="419" t="e">
        <f>#REF!</f>
        <v>#REF!</v>
      </c>
      <c r="G17" s="419" t="e">
        <f>#REF!</f>
        <v>#REF!</v>
      </c>
      <c r="H17" s="419" t="e">
        <f>#REF!</f>
        <v>#REF!</v>
      </c>
      <c r="I17" s="419" t="e">
        <f>#REF!</f>
        <v>#REF!</v>
      </c>
      <c r="J17" s="419" t="e">
        <f>#REF!</f>
        <v>#REF!</v>
      </c>
      <c r="K17" s="419" t="e">
        <f>#REF!</f>
        <v>#REF!</v>
      </c>
      <c r="L17" s="420" t="e">
        <f>#REF!</f>
        <v>#REF!</v>
      </c>
      <c r="M17" s="421" t="e">
        <f t="shared" si="0"/>
        <v>#REF!</v>
      </c>
    </row>
    <row r="18" spans="1:14" s="2" customFormat="1" ht="39" customHeight="1">
      <c r="A18" s="428" t="e">
        <f>#REF!</f>
        <v>#REF!</v>
      </c>
      <c r="B18" s="419"/>
      <c r="C18" s="419" t="e">
        <f>#REF!</f>
        <v>#REF!</v>
      </c>
      <c r="D18" s="419" t="e">
        <f>#REF!</f>
        <v>#REF!</v>
      </c>
      <c r="E18" s="419" t="e">
        <f>#REF!</f>
        <v>#REF!</v>
      </c>
      <c r="F18" s="419" t="e">
        <f>#REF!</f>
        <v>#REF!</v>
      </c>
      <c r="G18" s="419" t="e">
        <f>#REF!</f>
        <v>#REF!</v>
      </c>
      <c r="H18" s="419" t="e">
        <f>#REF!</f>
        <v>#REF!</v>
      </c>
      <c r="I18" s="419" t="e">
        <f>#REF!</f>
        <v>#REF!</v>
      </c>
      <c r="J18" s="419" t="e">
        <f>#REF!</f>
        <v>#REF!</v>
      </c>
      <c r="K18" s="419" t="e">
        <f>#REF!</f>
        <v>#REF!</v>
      </c>
      <c r="L18" s="419" t="e">
        <f>#REF!</f>
        <v>#REF!</v>
      </c>
      <c r="M18" s="421" t="e">
        <f t="shared" si="0"/>
        <v>#REF!</v>
      </c>
    </row>
    <row r="19" spans="1:14" s="2" customFormat="1" ht="39" customHeight="1">
      <c r="A19" s="416" t="s">
        <v>690</v>
      </c>
      <c r="B19" s="419"/>
      <c r="C19" s="419" t="e">
        <f>#REF!</f>
        <v>#REF!</v>
      </c>
      <c r="D19" s="419" t="e">
        <f>#REF!</f>
        <v>#REF!</v>
      </c>
      <c r="E19" s="419" t="e">
        <f>#REF!</f>
        <v>#REF!</v>
      </c>
      <c r="F19" s="419" t="e">
        <f>#REF!</f>
        <v>#REF!</v>
      </c>
      <c r="G19" s="419" t="e">
        <f>#REF!</f>
        <v>#REF!</v>
      </c>
      <c r="H19" s="419" t="e">
        <f>#REF!</f>
        <v>#REF!</v>
      </c>
      <c r="I19" s="419" t="e">
        <f>#REF!</f>
        <v>#REF!</v>
      </c>
      <c r="J19" s="419" t="e">
        <f>#REF!</f>
        <v>#REF!</v>
      </c>
      <c r="K19" s="419" t="e">
        <f>#REF!</f>
        <v>#REF!</v>
      </c>
      <c r="L19" s="419" t="e">
        <f>#REF!</f>
        <v>#REF!</v>
      </c>
      <c r="M19" s="421" t="e">
        <f t="shared" si="0"/>
        <v>#REF!</v>
      </c>
    </row>
    <row r="20" spans="1:14" s="2" customFormat="1" ht="36" outlineLevel="1">
      <c r="A20" s="416" t="s">
        <v>698</v>
      </c>
      <c r="B20" s="419"/>
      <c r="C20" s="419"/>
      <c r="D20" s="419"/>
      <c r="E20" s="419"/>
      <c r="F20" s="419"/>
      <c r="G20" s="419"/>
      <c r="H20" s="419"/>
      <c r="I20" s="419"/>
      <c r="J20" s="419"/>
      <c r="K20" s="419"/>
      <c r="L20" s="420"/>
      <c r="M20" s="421"/>
    </row>
    <row r="21" spans="1:14" s="2" customFormat="1" ht="36">
      <c r="A21" s="416" t="s">
        <v>691</v>
      </c>
      <c r="B21" s="419" t="e">
        <f>#REF!-#REF!</f>
        <v>#REF!</v>
      </c>
      <c r="C21" s="419" t="e">
        <f>#REF!+#REF!+#REF!</f>
        <v>#REF!</v>
      </c>
      <c r="D21" s="419" t="e">
        <f>#REF!+#REF!+#REF!</f>
        <v>#REF!</v>
      </c>
      <c r="E21" s="419" t="e">
        <f>#REF!+#REF!+#REF!</f>
        <v>#REF!</v>
      </c>
      <c r="F21" s="419" t="e">
        <f>#REF!+#REF!+#REF!</f>
        <v>#REF!</v>
      </c>
      <c r="G21" s="419" t="e">
        <f>#REF!+#REF!+#REF!</f>
        <v>#REF!</v>
      </c>
      <c r="H21" s="419" t="e">
        <f>#REF!+#REF!+#REF!</f>
        <v>#REF!</v>
      </c>
      <c r="I21" s="419" t="e">
        <f>#REF!+#REF!+#REF!</f>
        <v>#REF!</v>
      </c>
      <c r="J21" s="419" t="e">
        <f>#REF!+#REF!+#REF!</f>
        <v>#REF!</v>
      </c>
      <c r="K21" s="419" t="e">
        <f>#REF!+#REF!+#REF!</f>
        <v>#REF!</v>
      </c>
      <c r="L21" s="419" t="e">
        <f>#REF!+#REF!+#REF!</f>
        <v>#REF!</v>
      </c>
      <c r="M21" s="421" t="e">
        <f t="shared" si="0"/>
        <v>#REF!</v>
      </c>
    </row>
    <row r="22" spans="1:14" s="2" customFormat="1" ht="36" outlineLevel="1">
      <c r="A22" s="429" t="s">
        <v>692</v>
      </c>
      <c r="B22" s="430"/>
      <c r="C22" s="430" t="e">
        <f>#REF!+#REF!*0</f>
        <v>#REF!</v>
      </c>
      <c r="D22" s="430" t="e">
        <f>#REF!+#REF!*0</f>
        <v>#REF!</v>
      </c>
      <c r="E22" s="430" t="e">
        <f>#REF!+#REF!*0</f>
        <v>#REF!</v>
      </c>
      <c r="F22" s="430" t="e">
        <f>#REF!+#REF!*0</f>
        <v>#REF!</v>
      </c>
      <c r="G22" s="430" t="e">
        <f>#REF!+#REF!*0</f>
        <v>#REF!</v>
      </c>
      <c r="H22" s="430" t="e">
        <f>#REF!+#REF!*0</f>
        <v>#REF!</v>
      </c>
      <c r="I22" s="430" t="e">
        <f>#REF!+#REF!*0</f>
        <v>#REF!</v>
      </c>
      <c r="J22" s="430" t="e">
        <f>#REF!+#REF!*0</f>
        <v>#REF!</v>
      </c>
      <c r="K22" s="430" t="e">
        <f>#REF!+#REF!*0</f>
        <v>#REF!</v>
      </c>
      <c r="L22" s="430" t="e">
        <f>#REF!+#REF!*0</f>
        <v>#REF!</v>
      </c>
      <c r="M22" s="421" t="e">
        <f t="shared" si="0"/>
        <v>#REF!</v>
      </c>
    </row>
    <row r="23" spans="1:14" s="2" customFormat="1" ht="36">
      <c r="A23" s="431" t="s">
        <v>693</v>
      </c>
      <c r="B23" s="432" t="e">
        <f>B13+B15-B16-B17-B21</f>
        <v>#REF!</v>
      </c>
      <c r="C23" s="432" t="e">
        <f>C13+C15-C16-C17-C18-C19</f>
        <v>#REF!</v>
      </c>
      <c r="D23" s="432" t="e">
        <f t="shared" ref="D23:L23" si="4">D13+D15-D16-D17-D18-D19</f>
        <v>#REF!</v>
      </c>
      <c r="E23" s="432" t="e">
        <f t="shared" si="4"/>
        <v>#REF!</v>
      </c>
      <c r="F23" s="432" t="e">
        <f t="shared" si="4"/>
        <v>#REF!</v>
      </c>
      <c r="G23" s="432" t="e">
        <f t="shared" si="4"/>
        <v>#REF!</v>
      </c>
      <c r="H23" s="432" t="e">
        <f t="shared" si="4"/>
        <v>#REF!</v>
      </c>
      <c r="I23" s="432" t="e">
        <f t="shared" si="4"/>
        <v>#REF!</v>
      </c>
      <c r="J23" s="432" t="e">
        <f t="shared" si="4"/>
        <v>#REF!</v>
      </c>
      <c r="K23" s="432" t="e">
        <f t="shared" si="4"/>
        <v>#REF!</v>
      </c>
      <c r="L23" s="432" t="e">
        <f t="shared" si="4"/>
        <v>#REF!</v>
      </c>
      <c r="M23" s="418" t="e">
        <f t="shared" si="0"/>
        <v>#REF!</v>
      </c>
    </row>
    <row r="24" spans="1:14" s="2" customFormat="1" ht="36">
      <c r="A24" s="422" t="s">
        <v>694</v>
      </c>
      <c r="B24" s="423">
        <v>0</v>
      </c>
      <c r="C24" s="423" t="e">
        <f>#REF!</f>
        <v>#REF!</v>
      </c>
      <c r="D24" s="423" t="e">
        <f>#REF!</f>
        <v>#REF!</v>
      </c>
      <c r="E24" s="423" t="e">
        <f>#REF!</f>
        <v>#REF!</v>
      </c>
      <c r="F24" s="423" t="e">
        <f>#REF!</f>
        <v>#REF!</v>
      </c>
      <c r="G24" s="423" t="e">
        <f>#REF!</f>
        <v>#REF!</v>
      </c>
      <c r="H24" s="423" t="e">
        <f>#REF!</f>
        <v>#REF!</v>
      </c>
      <c r="I24" s="423" t="e">
        <f>#REF!</f>
        <v>#REF!</v>
      </c>
      <c r="J24" s="423" t="e">
        <f>#REF!</f>
        <v>#REF!</v>
      </c>
      <c r="K24" s="423" t="e">
        <f>#REF!</f>
        <v>#REF!</v>
      </c>
      <c r="L24" s="424" t="e">
        <f>#REF!</f>
        <v>#REF!</v>
      </c>
      <c r="M24" s="421" t="e">
        <f t="shared" si="0"/>
        <v>#REF!</v>
      </c>
      <c r="N24" s="5"/>
    </row>
    <row r="25" spans="1:14" s="2" customFormat="1" ht="18">
      <c r="A25" s="416" t="s">
        <v>7</v>
      </c>
      <c r="B25" s="419"/>
      <c r="C25" s="419"/>
      <c r="D25" s="419"/>
      <c r="E25" s="419"/>
      <c r="F25" s="419"/>
      <c r="G25" s="419"/>
      <c r="H25" s="419"/>
      <c r="I25" s="419"/>
      <c r="J25" s="419"/>
      <c r="K25" s="419"/>
      <c r="L25" s="420"/>
      <c r="M25" s="421"/>
    </row>
    <row r="26" spans="1:14" s="2" customFormat="1" ht="60.75" customHeight="1">
      <c r="A26" s="416" t="s">
        <v>695</v>
      </c>
      <c r="B26" s="419" t="e">
        <f>B23-B24</f>
        <v>#REF!</v>
      </c>
      <c r="C26" s="419" t="e">
        <f>C23-C24</f>
        <v>#REF!</v>
      </c>
      <c r="D26" s="419" t="e">
        <f t="shared" ref="D26:I26" si="5">D23-D24</f>
        <v>#REF!</v>
      </c>
      <c r="E26" s="419" t="e">
        <f t="shared" si="5"/>
        <v>#REF!</v>
      </c>
      <c r="F26" s="419" t="e">
        <f t="shared" si="5"/>
        <v>#REF!</v>
      </c>
      <c r="G26" s="419" t="e">
        <f t="shared" si="5"/>
        <v>#REF!</v>
      </c>
      <c r="H26" s="419" t="e">
        <f t="shared" si="5"/>
        <v>#REF!</v>
      </c>
      <c r="I26" s="419" t="e">
        <f t="shared" si="5"/>
        <v>#REF!</v>
      </c>
      <c r="J26" s="419" t="e">
        <f>J23-J24</f>
        <v>#REF!</v>
      </c>
      <c r="K26" s="419" t="e">
        <f>K23-K24</f>
        <v>#REF!</v>
      </c>
      <c r="L26" s="420" t="e">
        <f>L23-L24</f>
        <v>#REF!</v>
      </c>
      <c r="M26" s="421" t="e">
        <f t="shared" si="0"/>
        <v>#REF!</v>
      </c>
    </row>
    <row r="27" spans="1:14" s="2" customFormat="1" ht="45.75" customHeight="1" thickBot="1">
      <c r="A27" s="422" t="s">
        <v>696</v>
      </c>
      <c r="B27" s="423" t="e">
        <f>(#REF!+#REF!+#REF!+#REF!)</f>
        <v>#REF!</v>
      </c>
      <c r="C27" s="423">
        <v>0</v>
      </c>
      <c r="D27" s="423">
        <v>0</v>
      </c>
      <c r="E27" s="423">
        <v>0</v>
      </c>
      <c r="F27" s="423">
        <v>0</v>
      </c>
      <c r="G27" s="423">
        <v>0</v>
      </c>
      <c r="H27" s="423">
        <v>0</v>
      </c>
      <c r="I27" s="423">
        <v>0</v>
      </c>
      <c r="J27" s="423">
        <v>0</v>
      </c>
      <c r="K27" s="423">
        <v>0</v>
      </c>
      <c r="L27" s="424">
        <v>0</v>
      </c>
      <c r="M27" s="421"/>
    </row>
    <row r="28" spans="1:14" s="2" customFormat="1" ht="39" customHeight="1" thickBot="1">
      <c r="A28" s="433" t="s">
        <v>697</v>
      </c>
      <c r="B28" s="434" t="e">
        <f t="shared" ref="B28:L28" si="6">B26+B27</f>
        <v>#REF!</v>
      </c>
      <c r="C28" s="434" t="e">
        <f t="shared" si="6"/>
        <v>#REF!</v>
      </c>
      <c r="D28" s="434" t="e">
        <f t="shared" si="6"/>
        <v>#REF!</v>
      </c>
      <c r="E28" s="434" t="e">
        <f t="shared" si="6"/>
        <v>#REF!</v>
      </c>
      <c r="F28" s="434" t="e">
        <f t="shared" si="6"/>
        <v>#REF!</v>
      </c>
      <c r="G28" s="434" t="e">
        <f t="shared" si="6"/>
        <v>#REF!</v>
      </c>
      <c r="H28" s="434" t="e">
        <f t="shared" si="6"/>
        <v>#REF!</v>
      </c>
      <c r="I28" s="434" t="e">
        <f t="shared" si="6"/>
        <v>#REF!</v>
      </c>
      <c r="J28" s="434" t="e">
        <f t="shared" si="6"/>
        <v>#REF!</v>
      </c>
      <c r="K28" s="434" t="e">
        <f t="shared" si="6"/>
        <v>#REF!</v>
      </c>
      <c r="L28" s="435" t="e">
        <f t="shared" si="6"/>
        <v>#REF!</v>
      </c>
      <c r="M28" s="436" t="e">
        <f t="shared" si="0"/>
        <v>#REF!</v>
      </c>
    </row>
    <row r="29" spans="1:14" s="2" customFormat="1" ht="13.5" customHeight="1">
      <c r="A29" s="416" t="s">
        <v>7</v>
      </c>
      <c r="B29" s="437"/>
      <c r="C29" s="437" t="e">
        <f t="shared" ref="C29:L29" si="7">IF(C28&gt;=0,"","(Изыскать источник)")</f>
        <v>#REF!</v>
      </c>
      <c r="D29" s="437" t="e">
        <f>IF(D28&gt;=0,"","(Изыскать источник)")</f>
        <v>#REF!</v>
      </c>
      <c r="E29" s="437" t="e">
        <f>IF(E28&gt;=0,"","(Изыскать источник)")</f>
        <v>#REF!</v>
      </c>
      <c r="F29" s="437" t="e">
        <f>IF(F28&gt;=0,"","(Изыскать источник)")</f>
        <v>#REF!</v>
      </c>
      <c r="G29" s="437" t="e">
        <f>IF(G28&gt;=0,"","(Изыскать источник)")</f>
        <v>#REF!</v>
      </c>
      <c r="H29" s="437" t="e">
        <f>IF(H28&gt;=0,"","(Изыскать источник)")</f>
        <v>#REF!</v>
      </c>
      <c r="I29" s="437" t="e">
        <f t="shared" si="7"/>
        <v>#REF!</v>
      </c>
      <c r="J29" s="437" t="e">
        <f t="shared" si="7"/>
        <v>#REF!</v>
      </c>
      <c r="K29" s="437" t="e">
        <f t="shared" si="7"/>
        <v>#REF!</v>
      </c>
      <c r="L29" s="438" t="e">
        <f t="shared" si="7"/>
        <v>#REF!</v>
      </c>
      <c r="M29" s="438"/>
    </row>
    <row r="30" spans="1:14" s="2" customFormat="1" ht="54" customHeight="1">
      <c r="A30" s="416" t="s">
        <v>699</v>
      </c>
      <c r="B30" s="419" t="e">
        <f>B28</f>
        <v>#REF!</v>
      </c>
      <c r="C30" s="419" t="e">
        <f>B30+C28</f>
        <v>#REF!</v>
      </c>
      <c r="D30" s="419" t="e">
        <f t="shared" ref="D30:I30" si="8">C30+D28</f>
        <v>#REF!</v>
      </c>
      <c r="E30" s="419" t="e">
        <f t="shared" si="8"/>
        <v>#REF!</v>
      </c>
      <c r="F30" s="419" t="e">
        <f t="shared" si="8"/>
        <v>#REF!</v>
      </c>
      <c r="G30" s="419" t="e">
        <f t="shared" si="8"/>
        <v>#REF!</v>
      </c>
      <c r="H30" s="419" t="e">
        <f t="shared" si="8"/>
        <v>#REF!</v>
      </c>
      <c r="I30" s="419" t="e">
        <f t="shared" si="8"/>
        <v>#REF!</v>
      </c>
      <c r="J30" s="419" t="e">
        <f>I30+J28</f>
        <v>#REF!</v>
      </c>
      <c r="K30" s="419" t="e">
        <f>J30+K28</f>
        <v>#REF!</v>
      </c>
      <c r="L30" s="420" t="e">
        <f>K30+L28</f>
        <v>#REF!</v>
      </c>
      <c r="M30" s="420"/>
    </row>
    <row r="31" spans="1:14" s="2" customFormat="1" ht="54.75" thickBot="1">
      <c r="A31" s="439" t="s">
        <v>700</v>
      </c>
      <c r="B31" s="440"/>
      <c r="C31" s="441" t="e">
        <f>IF((C13-C21)/(C17+C24)&gt;0,(C13-C21)/(C17+C24),"")</f>
        <v>#REF!</v>
      </c>
      <c r="D31" s="440" t="e">
        <f t="shared" ref="D31:K31" si="9">IF((D13-D21)/(D17+D24)&gt;0,(D13-D21)/(D17+D24),"")</f>
        <v>#REF!</v>
      </c>
      <c r="E31" s="440" t="e">
        <f t="shared" si="9"/>
        <v>#REF!</v>
      </c>
      <c r="F31" s="440" t="e">
        <f t="shared" si="9"/>
        <v>#REF!</v>
      </c>
      <c r="G31" s="440" t="e">
        <f t="shared" si="9"/>
        <v>#REF!</v>
      </c>
      <c r="H31" s="440" t="e">
        <f t="shared" si="9"/>
        <v>#REF!</v>
      </c>
      <c r="I31" s="440" t="e">
        <f t="shared" si="9"/>
        <v>#REF!</v>
      </c>
      <c r="J31" s="440" t="e">
        <f t="shared" si="9"/>
        <v>#REF!</v>
      </c>
      <c r="K31" s="440" t="e">
        <f t="shared" si="9"/>
        <v>#REF!</v>
      </c>
      <c r="L31" s="442"/>
      <c r="M31" s="442"/>
    </row>
    <row r="32" spans="1:14" ht="7.5" customHeight="1">
      <c r="A32" s="6"/>
      <c r="B32" s="7"/>
      <c r="C32" s="7"/>
      <c r="D32" s="7"/>
      <c r="E32" s="7"/>
      <c r="F32" s="7"/>
      <c r="G32" s="7"/>
      <c r="H32" s="7"/>
      <c r="I32" s="7"/>
      <c r="J32" s="7"/>
      <c r="K32" s="7"/>
      <c r="L32" s="7"/>
    </row>
    <row r="33" spans="1:12" ht="15.75">
      <c r="A33" s="8"/>
      <c r="B33" s="9"/>
      <c r="C33" s="9"/>
      <c r="D33" s="9"/>
      <c r="E33" s="9"/>
      <c r="F33" s="9"/>
      <c r="G33" s="9"/>
      <c r="H33" s="9"/>
      <c r="I33" s="9"/>
      <c r="J33" s="9"/>
      <c r="K33" s="9"/>
      <c r="L33" s="9"/>
    </row>
    <row r="34" spans="1:12">
      <c r="A34" s="10"/>
      <c r="B34" s="11"/>
      <c r="C34" s="11" t="e">
        <f>C28-#REF!</f>
        <v>#REF!</v>
      </c>
      <c r="D34" s="11" t="e">
        <f>D28-#REF!</f>
        <v>#REF!</v>
      </c>
      <c r="E34" s="11" t="e">
        <f>E28-#REF!</f>
        <v>#REF!</v>
      </c>
      <c r="F34" s="11" t="e">
        <f>F28-#REF!</f>
        <v>#REF!</v>
      </c>
      <c r="G34" s="11" t="e">
        <f>G28-#REF!</f>
        <v>#REF!</v>
      </c>
      <c r="H34" s="11" t="e">
        <f>H28-#REF!</f>
        <v>#REF!</v>
      </c>
      <c r="I34" s="11" t="e">
        <f>I28-#REF!</f>
        <v>#REF!</v>
      </c>
      <c r="J34" s="11" t="e">
        <f>J28-#REF!</f>
        <v>#REF!</v>
      </c>
      <c r="K34" s="11"/>
      <c r="L34" s="11"/>
    </row>
    <row r="35" spans="1:12">
      <c r="A35" s="10"/>
      <c r="B35" s="11"/>
      <c r="C35" s="11" t="e">
        <f>C23</f>
        <v>#REF!</v>
      </c>
      <c r="D35" s="11" t="e">
        <f t="shared" ref="D35:K35" si="10">D23</f>
        <v>#REF!</v>
      </c>
      <c r="E35" s="11" t="e">
        <f t="shared" si="10"/>
        <v>#REF!</v>
      </c>
      <c r="F35" s="11" t="e">
        <f t="shared" si="10"/>
        <v>#REF!</v>
      </c>
      <c r="G35" s="11" t="e">
        <f t="shared" si="10"/>
        <v>#REF!</v>
      </c>
      <c r="H35" s="11" t="e">
        <f t="shared" si="10"/>
        <v>#REF!</v>
      </c>
      <c r="I35" s="11" t="e">
        <f t="shared" si="10"/>
        <v>#REF!</v>
      </c>
      <c r="J35" s="11" t="e">
        <f t="shared" si="10"/>
        <v>#REF!</v>
      </c>
      <c r="K35" s="11" t="e">
        <f t="shared" si="10"/>
        <v>#REF!</v>
      </c>
      <c r="L35" s="11"/>
    </row>
    <row r="36" spans="1:12" ht="15.75">
      <c r="A36" s="8"/>
      <c r="B36" s="12" t="e">
        <f>-#REF!</f>
        <v>#REF!</v>
      </c>
      <c r="C36" s="12" t="e">
        <f>$B$36+SUM($B$35:C35)</f>
        <v>#REF!</v>
      </c>
      <c r="D36" s="12" t="e">
        <f>$B$36+SUM($B$35:D35)</f>
        <v>#REF!</v>
      </c>
      <c r="E36" s="12" t="e">
        <f>$B$36+SUM($B$35:E35)</f>
        <v>#REF!</v>
      </c>
      <c r="F36" s="12" t="e">
        <f>$B$36+SUM($B$35:F35)</f>
        <v>#REF!</v>
      </c>
      <c r="G36" s="12" t="e">
        <f>$B$36+SUM($B$35:G35)</f>
        <v>#REF!</v>
      </c>
      <c r="H36" s="12" t="e">
        <f>$B$36+SUM($B$35:H35)</f>
        <v>#REF!</v>
      </c>
      <c r="I36" s="12" t="e">
        <f>$B$36+SUM($B$35:I35)</f>
        <v>#REF!</v>
      </c>
      <c r="J36" s="12" t="e">
        <f>$B$36+SUM($B$35:J35)</f>
        <v>#REF!</v>
      </c>
      <c r="K36" s="12" t="e">
        <f>$B$36+SUM($B$35:K35)</f>
        <v>#REF!</v>
      </c>
      <c r="L36" s="12"/>
    </row>
    <row r="37" spans="1:12" ht="15.75">
      <c r="A37" s="8"/>
      <c r="B37" s="13"/>
      <c r="C37" s="12"/>
      <c r="D37" s="12"/>
      <c r="E37" s="12"/>
      <c r="F37" s="12"/>
      <c r="G37" s="12"/>
      <c r="H37" s="12"/>
      <c r="I37" s="12"/>
      <c r="J37" s="12"/>
      <c r="K37" s="12"/>
      <c r="L37" s="12"/>
    </row>
    <row r="38" spans="1:12">
      <c r="A38" s="6"/>
      <c r="B38" s="12"/>
      <c r="C38" s="12"/>
      <c r="D38" s="12"/>
      <c r="E38" s="12"/>
      <c r="F38" s="12"/>
      <c r="G38" s="12"/>
      <c r="H38" s="12"/>
      <c r="I38" s="12"/>
      <c r="J38" s="12"/>
      <c r="K38" s="12"/>
      <c r="L38" s="12"/>
    </row>
    <row r="39" spans="1:12">
      <c r="A39" s="6"/>
      <c r="B39" s="12"/>
      <c r="C39" s="12"/>
      <c r="D39" s="12"/>
      <c r="E39" s="12"/>
      <c r="F39" s="12"/>
      <c r="G39" s="12"/>
      <c r="H39" s="12"/>
      <c r="I39" s="12"/>
      <c r="J39" s="12"/>
      <c r="K39" s="12"/>
      <c r="L39" s="12"/>
    </row>
    <row r="40" spans="1:12" ht="15.75">
      <c r="A40" s="14"/>
      <c r="B40" s="12"/>
      <c r="C40" s="12"/>
      <c r="D40" s="12"/>
      <c r="E40" s="12"/>
      <c r="F40" s="12"/>
      <c r="G40" s="12"/>
      <c r="H40" s="12"/>
      <c r="I40" s="12"/>
      <c r="J40" s="12"/>
      <c r="K40" s="12"/>
      <c r="L40" s="12"/>
    </row>
    <row r="41" spans="1:12">
      <c r="A41" s="15"/>
      <c r="B41" s="12"/>
      <c r="C41" s="12"/>
      <c r="D41" s="12"/>
      <c r="E41" s="12"/>
      <c r="F41" s="12"/>
      <c r="G41" s="12"/>
      <c r="H41" s="12"/>
      <c r="I41" s="12"/>
      <c r="J41" s="12"/>
      <c r="K41" s="12"/>
      <c r="L41" s="12"/>
    </row>
    <row r="42" spans="1:12" ht="15.75">
      <c r="A42" s="14"/>
      <c r="B42" s="12"/>
      <c r="C42" s="12"/>
      <c r="D42" s="12"/>
      <c r="E42" s="12"/>
      <c r="F42" s="12"/>
      <c r="G42" s="12"/>
      <c r="H42" s="12"/>
      <c r="I42" s="16"/>
      <c r="J42" s="12"/>
      <c r="K42" s="12"/>
      <c r="L42" s="12"/>
    </row>
    <row r="43" spans="1:12">
      <c r="A43" s="6"/>
      <c r="B43" s="17"/>
      <c r="C43" s="17"/>
      <c r="D43" s="17"/>
      <c r="E43" s="17"/>
      <c r="F43" s="17"/>
      <c r="G43" s="17"/>
      <c r="H43" s="17"/>
      <c r="I43" s="17"/>
      <c r="J43" s="17"/>
      <c r="K43" s="17"/>
      <c r="L43" s="17"/>
    </row>
    <row r="44" spans="1:12" ht="15.75">
      <c r="A44" s="8"/>
      <c r="B44" s="18"/>
      <c r="C44" s="18"/>
      <c r="D44" s="18"/>
      <c r="E44" s="18"/>
      <c r="F44" s="18"/>
      <c r="G44" s="18"/>
      <c r="H44" s="18"/>
      <c r="I44" s="18"/>
      <c r="J44" s="18"/>
      <c r="K44" s="18"/>
      <c r="L44" s="18"/>
    </row>
    <row r="45" spans="1:12" ht="32.450000000000003" customHeight="1">
      <c r="A45" s="10"/>
      <c r="B45" s="11"/>
      <c r="C45" s="11"/>
      <c r="D45" s="11"/>
      <c r="E45" s="11"/>
      <c r="F45" s="11"/>
      <c r="G45" s="11"/>
      <c r="H45" s="11">
        <v>1500000</v>
      </c>
      <c r="I45" s="11"/>
      <c r="J45" s="11"/>
      <c r="K45" s="11"/>
      <c r="L45" s="11"/>
    </row>
    <row r="46" spans="1:12" ht="32.450000000000003" customHeight="1">
      <c r="A46" s="10"/>
      <c r="B46" s="11"/>
      <c r="C46" s="11"/>
      <c r="D46" s="11"/>
      <c r="E46" s="11"/>
      <c r="F46" s="11"/>
      <c r="G46" s="11"/>
      <c r="H46" s="11">
        <v>60</v>
      </c>
      <c r="I46" s="11"/>
      <c r="J46" s="11"/>
      <c r="K46" s="12"/>
      <c r="L46" s="12"/>
    </row>
    <row r="47" spans="1:12" ht="32.450000000000003" customHeight="1">
      <c r="A47" s="8"/>
      <c r="B47" s="18"/>
      <c r="C47" s="18"/>
      <c r="D47" s="18"/>
      <c r="E47" s="18"/>
      <c r="F47" s="18"/>
      <c r="G47" s="18"/>
      <c r="H47" s="18">
        <f>H45*H46</f>
        <v>90000000</v>
      </c>
      <c r="I47" s="18"/>
      <c r="J47" s="18"/>
      <c r="K47" s="18"/>
      <c r="L47" s="18"/>
    </row>
    <row r="48" spans="1:12" ht="32.450000000000003" customHeight="1">
      <c r="A48" s="10"/>
      <c r="B48" s="11"/>
      <c r="C48" s="11"/>
      <c r="D48" s="11"/>
      <c r="E48" s="11"/>
      <c r="F48" s="11"/>
      <c r="G48" s="11"/>
      <c r="H48" s="11"/>
      <c r="I48" s="11"/>
      <c r="J48" s="11"/>
      <c r="K48" s="11"/>
      <c r="L48" s="11"/>
    </row>
    <row r="49" spans="1:12" ht="32.450000000000003" customHeight="1">
      <c r="A49" s="8"/>
      <c r="B49" s="11"/>
      <c r="C49" s="11"/>
      <c r="D49" s="11"/>
      <c r="E49" s="11"/>
      <c r="F49" s="11"/>
      <c r="G49" s="11"/>
      <c r="H49" s="11"/>
      <c r="I49" s="11"/>
      <c r="J49" s="11"/>
      <c r="K49" s="11"/>
      <c r="L49" s="11"/>
    </row>
    <row r="50" spans="1:12" ht="32.450000000000003" customHeight="1">
      <c r="A50" s="8"/>
      <c r="B50" s="11"/>
      <c r="C50" s="11"/>
      <c r="D50" s="11"/>
      <c r="E50" s="11"/>
      <c r="F50" s="11"/>
      <c r="G50" s="11"/>
      <c r="H50" s="11"/>
      <c r="I50" s="11"/>
      <c r="J50" s="11"/>
      <c r="K50" s="11"/>
      <c r="L50" s="11"/>
    </row>
    <row r="51" spans="1:12" ht="32.450000000000003" customHeight="1">
      <c r="A51" s="10"/>
      <c r="B51" s="11"/>
      <c r="C51" s="11"/>
      <c r="D51" s="11"/>
      <c r="E51" s="11"/>
      <c r="F51" s="11"/>
      <c r="G51" s="11"/>
      <c r="H51" s="11"/>
      <c r="I51" s="11"/>
      <c r="J51" s="11"/>
      <c r="K51" s="11"/>
      <c r="L51" s="11"/>
    </row>
    <row r="52" spans="1:12" ht="32.450000000000003" customHeight="1">
      <c r="A52" s="10"/>
      <c r="B52" s="11"/>
      <c r="C52" s="12"/>
      <c r="D52" s="12"/>
      <c r="E52" s="12"/>
      <c r="F52" s="12"/>
      <c r="G52" s="12"/>
      <c r="H52" s="12"/>
      <c r="I52" s="12"/>
      <c r="J52" s="12"/>
      <c r="K52" s="12"/>
      <c r="L52" s="12"/>
    </row>
    <row r="53" spans="1:12" ht="32.450000000000003" customHeight="1">
      <c r="A53" s="8"/>
      <c r="B53" s="12"/>
      <c r="C53" s="12"/>
      <c r="D53" s="12"/>
      <c r="E53" s="12"/>
      <c r="F53" s="12"/>
      <c r="G53" s="12"/>
      <c r="H53" s="12"/>
      <c r="I53" s="12"/>
      <c r="J53" s="12"/>
      <c r="K53" s="12"/>
      <c r="L53" s="12"/>
    </row>
    <row r="54" spans="1:12" ht="32.450000000000003" customHeight="1">
      <c r="A54" s="8"/>
      <c r="B54" s="13"/>
      <c r="C54" s="12"/>
      <c r="D54" s="12"/>
      <c r="E54" s="12"/>
      <c r="F54" s="12"/>
      <c r="G54" s="12"/>
      <c r="H54" s="12"/>
      <c r="I54" s="12"/>
      <c r="J54" s="12"/>
      <c r="K54" s="12"/>
      <c r="L54" s="12"/>
    </row>
    <row r="56" spans="1:12">
      <c r="B56" s="3"/>
    </row>
  </sheetData>
  <printOptions horizontalCentered="1" verticalCentered="1"/>
  <pageMargins left="0" right="0" top="0.19685039370078741" bottom="0" header="0" footer="0"/>
  <pageSetup paperSize="9" scale="54" orientation="landscape" horizontalDpi="12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3EC2-1C29-4F2E-A224-843886E8B5A4}">
  <sheetPr>
    <pageSetUpPr fitToPage="1"/>
  </sheetPr>
  <dimension ref="A2:FC136"/>
  <sheetViews>
    <sheetView view="pageBreakPreview" zoomScaleNormal="55" zoomScaleSheetLayoutView="100" workbookViewId="0">
      <selection activeCell="A8" sqref="A8:A10"/>
    </sheetView>
  </sheetViews>
  <sheetFormatPr defaultRowHeight="12.75" outlineLevelRow="1" outlineLevelCol="1"/>
  <cols>
    <col min="1" max="1" width="6.85546875" style="31" customWidth="1"/>
    <col min="2" max="2" width="21.5703125" style="31" customWidth="1"/>
    <col min="3" max="3" width="11.5703125" style="31" customWidth="1"/>
    <col min="4" max="4" width="13.5703125" style="31" customWidth="1"/>
    <col min="5" max="5" width="12.42578125" style="32" customWidth="1"/>
    <col min="6" max="6" width="13.85546875" style="32" customWidth="1"/>
    <col min="7" max="7" width="12.7109375" style="32" customWidth="1"/>
    <col min="8" max="8" width="13.28515625" style="32" customWidth="1"/>
    <col min="9" max="9" width="12.140625" style="32" customWidth="1" outlineLevel="1"/>
    <col min="10" max="10" width="13.85546875" style="32" customWidth="1" outlineLevel="1"/>
    <col min="11" max="11" width="13.42578125" style="32" customWidth="1" outlineLevel="1"/>
    <col min="12" max="12" width="11.28515625" style="33" customWidth="1" outlineLevel="1" collapsed="1"/>
    <col min="13" max="13" width="14.140625" style="32" customWidth="1"/>
    <col min="14" max="14" width="17.140625" style="32" customWidth="1"/>
    <col min="15" max="15" width="14.28515625" style="32" customWidth="1"/>
    <col min="16" max="16" width="10.28515625" style="32" customWidth="1"/>
    <col min="17" max="17" width="13.140625" style="32" customWidth="1" outlineLevel="1"/>
    <col min="18" max="18" width="15.28515625" style="32" customWidth="1" outlineLevel="1"/>
    <col min="19" max="20" width="12.140625" style="32" customWidth="1" outlineLevel="1"/>
    <col min="21" max="21" width="17" style="32" customWidth="1" outlineLevel="1"/>
    <col min="22" max="22" width="10.85546875" style="32" customWidth="1" outlineLevel="1"/>
    <col min="23" max="23" width="20.42578125" style="32" customWidth="1" outlineLevel="1"/>
    <col min="24" max="24" width="15.28515625" style="32" customWidth="1" outlineLevel="1"/>
    <col min="25" max="25" width="16.42578125" style="32" customWidth="1" outlineLevel="1"/>
    <col min="26" max="26" width="17.140625" style="32" customWidth="1" outlineLevel="1"/>
    <col min="27" max="27" width="21" style="32" customWidth="1" outlineLevel="1"/>
    <col min="28" max="28" width="15.28515625" style="32" customWidth="1" outlineLevel="1"/>
    <col min="29" max="29" width="9.140625" style="32" customWidth="1" outlineLevel="1"/>
    <col min="30" max="30" width="10.140625" style="32" customWidth="1" outlineLevel="1"/>
    <col min="31" max="31" width="20.85546875" style="32" customWidth="1" outlineLevel="1"/>
    <col min="32" max="32" width="11.5703125" style="32" customWidth="1"/>
    <col min="33" max="33" width="29.5703125" style="32" customWidth="1"/>
    <col min="34" max="34" width="10.140625" style="32" customWidth="1"/>
    <col min="35" max="35" width="31" style="32" customWidth="1"/>
    <col min="36" max="36" width="12" style="32" customWidth="1"/>
    <col min="37" max="37" width="11.28515625" style="32" customWidth="1"/>
    <col min="38" max="38" width="12.140625" style="32" customWidth="1"/>
    <col min="39" max="40" width="12.28515625" style="32" customWidth="1"/>
    <col min="41" max="42" width="12.5703125" style="32" customWidth="1"/>
    <col min="43" max="43" width="13.28515625" style="32" customWidth="1"/>
    <col min="44" max="44" width="12.42578125" style="32" customWidth="1"/>
    <col min="45" max="49" width="9.140625" style="32"/>
    <col min="50" max="50" width="13.140625" style="32" customWidth="1"/>
    <col min="51" max="56" width="9.140625" style="32"/>
    <col min="57" max="57" width="14.42578125" style="32" customWidth="1"/>
    <col min="58" max="61" width="9.140625" style="32"/>
    <col min="62" max="62" width="13.140625" style="32" customWidth="1"/>
    <col min="63" max="63" width="12.85546875" style="32" customWidth="1"/>
    <col min="64" max="64" width="13.28515625" style="32" customWidth="1"/>
    <col min="65" max="65" width="12.42578125" style="32" customWidth="1"/>
    <col min="66" max="66" width="13.140625" style="32" customWidth="1"/>
    <col min="67" max="67" width="12" style="32" customWidth="1"/>
    <col min="68" max="68" width="12.28515625" style="32" customWidth="1"/>
    <col min="69" max="69" width="12.42578125" style="32" customWidth="1"/>
    <col min="70" max="102" width="9.140625" style="32"/>
    <col min="103" max="103" width="13.5703125" style="32" customWidth="1"/>
    <col min="104" max="104" width="11.85546875" style="32" customWidth="1"/>
    <col min="105" max="105" width="13" style="32" customWidth="1"/>
    <col min="106" max="144" width="9.140625" style="32"/>
    <col min="145" max="145" width="12.7109375" style="32" customWidth="1"/>
    <col min="146" max="146" width="11.5703125" style="32" customWidth="1"/>
    <col min="147" max="147" width="14.28515625" style="32" customWidth="1"/>
    <col min="148" max="149" width="13.42578125" style="32" customWidth="1"/>
    <col min="150" max="150" width="12.7109375" style="32" customWidth="1"/>
    <col min="151" max="151" width="12.85546875" style="32" customWidth="1"/>
    <col min="152" max="152" width="12.7109375" style="32" customWidth="1"/>
    <col min="153" max="153" width="12.5703125" style="32" customWidth="1"/>
    <col min="154" max="154" width="13.28515625" style="32" customWidth="1"/>
    <col min="155" max="155" width="13.5703125" style="32" customWidth="1"/>
    <col min="156" max="156" width="13.42578125" style="32" customWidth="1"/>
    <col min="157" max="157" width="12.28515625" style="32" customWidth="1"/>
    <col min="158" max="158" width="14" style="32" customWidth="1"/>
    <col min="159" max="159" width="12.85546875" style="32" customWidth="1"/>
    <col min="160" max="16384" width="9.140625" style="32"/>
  </cols>
  <sheetData>
    <row r="2" spans="1:33" ht="13.5" thickBot="1"/>
    <row r="3" spans="1:33" ht="30" customHeight="1">
      <c r="B3" s="34" t="s">
        <v>474</v>
      </c>
      <c r="C3" s="35">
        <v>0</v>
      </c>
      <c r="M3" s="835" t="s">
        <v>456</v>
      </c>
      <c r="N3" s="836"/>
      <c r="O3" s="36">
        <v>31342884.889285713</v>
      </c>
      <c r="P3" s="37" t="s">
        <v>105</v>
      </c>
    </row>
    <row r="4" spans="1:33" ht="25.5" customHeight="1">
      <c r="B4" s="34" t="s">
        <v>475</v>
      </c>
      <c r="C4" s="35" t="s">
        <v>471</v>
      </c>
      <c r="M4" s="837" t="s">
        <v>106</v>
      </c>
      <c r="N4" s="838"/>
      <c r="O4" s="38">
        <v>31342884.889285713</v>
      </c>
      <c r="P4" s="39" t="s">
        <v>105</v>
      </c>
      <c r="Q4" s="40">
        <f>O4/O3</f>
        <v>1</v>
      </c>
      <c r="W4" s="41"/>
      <c r="X4" s="41"/>
      <c r="Y4" s="41"/>
      <c r="Z4" s="41"/>
      <c r="AA4" s="41"/>
    </row>
    <row r="5" spans="1:33" ht="26.25" customHeight="1" thickBot="1">
      <c r="B5" s="34" t="s">
        <v>476</v>
      </c>
      <c r="C5" s="35" t="s">
        <v>477</v>
      </c>
      <c r="M5" s="839" t="s">
        <v>107</v>
      </c>
      <c r="N5" s="840"/>
      <c r="O5" s="42">
        <v>0</v>
      </c>
      <c r="P5" s="43" t="s">
        <v>105</v>
      </c>
      <c r="Q5" s="40">
        <f>O5/O3</f>
        <v>0</v>
      </c>
      <c r="V5" s="844"/>
      <c r="W5" s="844"/>
      <c r="X5" s="844"/>
      <c r="Y5" s="844"/>
      <c r="Z5" s="844"/>
      <c r="AA5" s="844"/>
    </row>
    <row r="6" spans="1:33">
      <c r="V6" s="44"/>
    </row>
    <row r="7" spans="1:33" s="53" customFormat="1" ht="27.75" customHeight="1">
      <c r="A7" s="45" t="s">
        <v>108</v>
      </c>
      <c r="B7" s="46"/>
      <c r="C7" s="46"/>
      <c r="D7" s="46"/>
      <c r="E7" s="47"/>
      <c r="F7" s="47"/>
      <c r="G7" s="47" t="s">
        <v>105</v>
      </c>
      <c r="H7" s="47"/>
      <c r="I7" s="47"/>
      <c r="J7" s="48"/>
      <c r="K7" s="49"/>
      <c r="L7" s="50"/>
      <c r="M7" s="51"/>
      <c r="N7" s="52" t="s">
        <v>109</v>
      </c>
    </row>
    <row r="8" spans="1:33" ht="38.25" customHeight="1">
      <c r="A8" s="832" t="s">
        <v>110</v>
      </c>
      <c r="B8" s="832" t="s">
        <v>111</v>
      </c>
      <c r="C8" s="833" t="s">
        <v>112</v>
      </c>
      <c r="D8" s="832" t="s">
        <v>113</v>
      </c>
      <c r="E8" s="832" t="s">
        <v>114</v>
      </c>
      <c r="F8" s="832" t="s">
        <v>115</v>
      </c>
      <c r="G8" s="832" t="s">
        <v>116</v>
      </c>
      <c r="H8" s="832" t="s">
        <v>117</v>
      </c>
      <c r="I8" s="832" t="s">
        <v>118</v>
      </c>
      <c r="J8" s="832" t="s">
        <v>14</v>
      </c>
      <c r="K8" s="832" t="s">
        <v>15</v>
      </c>
      <c r="L8" s="832" t="s">
        <v>16</v>
      </c>
      <c r="M8" s="850" t="s">
        <v>18</v>
      </c>
      <c r="N8" s="850" t="s">
        <v>17</v>
      </c>
      <c r="O8" s="850" t="s">
        <v>19</v>
      </c>
      <c r="P8" s="850" t="s">
        <v>20</v>
      </c>
      <c r="Q8" s="832" t="s">
        <v>119</v>
      </c>
      <c r="S8" s="54" t="str">
        <f>A8</f>
        <v>Years</v>
      </c>
      <c r="T8" s="832" t="s">
        <v>120</v>
      </c>
      <c r="U8" s="833" t="s">
        <v>121</v>
      </c>
      <c r="V8" s="54" t="s">
        <v>118</v>
      </c>
      <c r="W8" s="54" t="s">
        <v>14</v>
      </c>
      <c r="X8" s="54" t="s">
        <v>15</v>
      </c>
      <c r="Y8" s="54" t="s">
        <v>16</v>
      </c>
      <c r="Z8" s="841" t="s">
        <v>122</v>
      </c>
      <c r="AA8" s="841" t="s">
        <v>123</v>
      </c>
      <c r="AB8" s="841" t="s">
        <v>124</v>
      </c>
      <c r="AC8" s="841" t="s">
        <v>125</v>
      </c>
      <c r="AD8" s="54" t="s">
        <v>119</v>
      </c>
    </row>
    <row r="9" spans="1:33" ht="38.25" customHeight="1" thickBot="1">
      <c r="A9" s="832"/>
      <c r="B9" s="832"/>
      <c r="C9" s="834"/>
      <c r="D9" s="832"/>
      <c r="E9" s="832"/>
      <c r="F9" s="832"/>
      <c r="G9" s="832"/>
      <c r="H9" s="832"/>
      <c r="I9" s="832"/>
      <c r="J9" s="832"/>
      <c r="K9" s="832"/>
      <c r="L9" s="832"/>
      <c r="M9" s="850"/>
      <c r="N9" s="850"/>
      <c r="O9" s="850"/>
      <c r="P9" s="850"/>
      <c r="Q9" s="832"/>
      <c r="S9" s="55"/>
      <c r="T9" s="832"/>
      <c r="U9" s="845"/>
      <c r="V9" s="55"/>
      <c r="W9" s="55"/>
      <c r="X9" s="55"/>
      <c r="Y9" s="55"/>
      <c r="Z9" s="842"/>
      <c r="AA9" s="842"/>
      <c r="AB9" s="842"/>
      <c r="AC9" s="842"/>
      <c r="AD9" s="55"/>
    </row>
    <row r="10" spans="1:33" ht="21.75" customHeight="1" thickTop="1" thickBot="1">
      <c r="A10" s="832"/>
      <c r="B10" s="56" t="s">
        <v>126</v>
      </c>
      <c r="C10" s="56"/>
      <c r="D10" s="57" t="s">
        <v>0</v>
      </c>
      <c r="E10" s="57"/>
      <c r="F10" s="58">
        <v>0.3</v>
      </c>
      <c r="G10" s="59" t="e">
        <f>H128</f>
        <v>#DIV/0!</v>
      </c>
      <c r="H10" s="60"/>
      <c r="I10" s="61"/>
      <c r="J10" s="54"/>
      <c r="K10" s="54"/>
      <c r="L10" s="54"/>
      <c r="M10" s="62">
        <v>0.04</v>
      </c>
      <c r="N10" s="54"/>
      <c r="O10" s="54"/>
      <c r="P10" s="54"/>
      <c r="Q10" s="54"/>
      <c r="S10" s="55"/>
      <c r="T10" s="56" t="s">
        <v>126</v>
      </c>
      <c r="U10" s="845"/>
      <c r="V10" s="55"/>
      <c r="W10" s="55"/>
      <c r="X10" s="55"/>
      <c r="Y10" s="55"/>
      <c r="Z10" s="843"/>
      <c r="AA10" s="843"/>
      <c r="AB10" s="843"/>
      <c r="AC10" s="843"/>
      <c r="AD10" s="55"/>
    </row>
    <row r="11" spans="1:33" ht="19.5" customHeight="1" thickTop="1" thickBot="1">
      <c r="A11" s="63">
        <v>1</v>
      </c>
      <c r="B11" s="64">
        <f>$O$4</f>
        <v>31342884.889285713</v>
      </c>
      <c r="C11" s="846">
        <f>F38</f>
        <v>0</v>
      </c>
      <c r="D11" s="65"/>
      <c r="E11" s="66">
        <f>$C$11*D11</f>
        <v>0</v>
      </c>
      <c r="F11" s="66">
        <f>$E$11*F10</f>
        <v>0</v>
      </c>
      <c r="G11" s="66" t="e">
        <f t="shared" ref="G11:G30" si="0">E11*$G$10</f>
        <v>#DIV/0!</v>
      </c>
      <c r="H11" s="67" t="e">
        <f t="shared" ref="H11:H30" si="1">-B11+G11+$F$116*D11</f>
        <v>#DIV/0!</v>
      </c>
      <c r="I11" s="68"/>
      <c r="J11" s="69">
        <f t="shared" ref="J11:J30" si="2">1/POWER((1+I11),A11)</f>
        <v>1</v>
      </c>
      <c r="K11" s="70" t="e">
        <f t="shared" ref="K11:K30" si="3">H11*J11</f>
        <v>#DIV/0!</v>
      </c>
      <c r="L11" s="71"/>
      <c r="M11" s="72" t="e">
        <f>$K$11+L11</f>
        <v>#DIV/0!</v>
      </c>
      <c r="N11" s="73"/>
      <c r="O11" s="74"/>
      <c r="P11" s="849" t="e">
        <f>MAX(Q12:Q30)</f>
        <v>#DIV/0!</v>
      </c>
      <c r="Q11" s="74">
        <f t="shared" ref="Q11:Q16" si="4">IF(O11&gt;1,(A11-1)+(-$H$11-L11)/(L11-L10),0)</f>
        <v>0</v>
      </c>
      <c r="R11" s="75" t="e">
        <f>NPV(M10,H11:H11)</f>
        <v>#DIV/0!</v>
      </c>
      <c r="S11" s="76">
        <f t="shared" ref="S11:S30" si="5">A11</f>
        <v>1</v>
      </c>
      <c r="T11" s="77">
        <f>O3</f>
        <v>31342884.889285713</v>
      </c>
      <c r="U11" s="78" t="e">
        <f t="shared" ref="U11:U30" si="6">-T11+G11+($F$116+$F$111)*D11</f>
        <v>#DIV/0!</v>
      </c>
      <c r="V11" s="79">
        <f>I11</f>
        <v>0</v>
      </c>
      <c r="W11" s="80">
        <f>1/POWER((1+V11),S11)</f>
        <v>1</v>
      </c>
      <c r="X11" s="70" t="e">
        <f t="shared" ref="X11:X30" si="7">U11*W11</f>
        <v>#DIV/0!</v>
      </c>
      <c r="Y11" s="72"/>
      <c r="Z11" s="81"/>
      <c r="AA11" s="81"/>
      <c r="AB11" s="82"/>
      <c r="AC11" s="849" t="e">
        <f>MAX(AD12:AD31)</f>
        <v>#DIV/0!</v>
      </c>
      <c r="AD11" s="82"/>
      <c r="AE11" s="75" t="e">
        <f>NPV(V11,$U$11:U11)</f>
        <v>#DIV/0!</v>
      </c>
    </row>
    <row r="12" spans="1:33" ht="19.5" customHeight="1" thickTop="1" thickBot="1">
      <c r="A12" s="63">
        <f>A11+1</f>
        <v>2</v>
      </c>
      <c r="B12" s="64"/>
      <c r="C12" s="847"/>
      <c r="D12" s="65">
        <v>0.5</v>
      </c>
      <c r="E12" s="66">
        <f t="shared" ref="E12:E30" si="8">$C$11*D12</f>
        <v>0</v>
      </c>
      <c r="F12" s="66">
        <f t="shared" ref="F12:F30" si="9">E12*$F$10</f>
        <v>0</v>
      </c>
      <c r="G12" s="66" t="e">
        <f t="shared" si="0"/>
        <v>#DIV/0!</v>
      </c>
      <c r="H12" s="67" t="e">
        <f t="shared" si="1"/>
        <v>#DIV/0!</v>
      </c>
      <c r="I12" s="68">
        <f t="shared" ref="I12:I30" si="10">$M$10</f>
        <v>0.04</v>
      </c>
      <c r="J12" s="69">
        <f t="shared" si="2"/>
        <v>0.92455621301775137</v>
      </c>
      <c r="K12" s="70" t="e">
        <f t="shared" si="3"/>
        <v>#DIV/0!</v>
      </c>
      <c r="L12" s="71" t="e">
        <f>K12</f>
        <v>#DIV/0!</v>
      </c>
      <c r="M12" s="72" t="e">
        <f t="shared" ref="M12:M30" si="11">$K$11+L12</f>
        <v>#DIV/0!</v>
      </c>
      <c r="N12" s="73" t="e">
        <f>IRR($H$11:H12,I12)</f>
        <v>#VALUE!</v>
      </c>
      <c r="O12" s="74" t="e">
        <f t="shared" ref="O12:O30" si="12">L12/-$H$11</f>
        <v>#DIV/0!</v>
      </c>
      <c r="P12" s="849"/>
      <c r="Q12" s="74" t="e">
        <f t="shared" si="4"/>
        <v>#DIV/0!</v>
      </c>
      <c r="R12" s="75" t="e">
        <f>NPV($M$10,$H$11:H12)</f>
        <v>#DIV/0!</v>
      </c>
      <c r="S12" s="76">
        <f t="shared" si="5"/>
        <v>2</v>
      </c>
      <c r="T12" s="77">
        <v>0</v>
      </c>
      <c r="U12" s="78" t="e">
        <f t="shared" si="6"/>
        <v>#DIV/0!</v>
      </c>
      <c r="V12" s="79">
        <f t="shared" ref="V12:V30" si="13">I12</f>
        <v>0.04</v>
      </c>
      <c r="W12" s="80">
        <f t="shared" ref="W12:W30" si="14">1/POWER((1+V12),S12)</f>
        <v>0.92455621301775137</v>
      </c>
      <c r="X12" s="70" t="e">
        <f t="shared" si="7"/>
        <v>#DIV/0!</v>
      </c>
      <c r="Y12" s="71" t="e">
        <f>X12</f>
        <v>#DIV/0!</v>
      </c>
      <c r="Z12" s="72" t="e">
        <f t="shared" ref="Z12:Z30" si="15">$X$11+Y12</f>
        <v>#DIV/0!</v>
      </c>
      <c r="AA12" s="73" t="e">
        <f>IRR($U$11:U12,V12)</f>
        <v>#VALUE!</v>
      </c>
      <c r="AB12" s="74" t="e">
        <f>Y12/-$X$11</f>
        <v>#DIV/0!</v>
      </c>
      <c r="AC12" s="849"/>
      <c r="AD12" s="74" t="e">
        <f>IF(AB12&gt;1,(S10-1)+(-$X$11-Y11)/(Y12-Y11),0)</f>
        <v>#DIV/0!</v>
      </c>
      <c r="AE12" s="75" t="e">
        <f>NPV(V12,$U$11:U12)</f>
        <v>#DIV/0!</v>
      </c>
      <c r="AG12" s="83"/>
    </row>
    <row r="13" spans="1:33" ht="19.5" customHeight="1" thickTop="1" thickBot="1">
      <c r="A13" s="63">
        <f t="shared" ref="A13:A30" si="16">A12+1</f>
        <v>3</v>
      </c>
      <c r="B13" s="64"/>
      <c r="C13" s="847"/>
      <c r="D13" s="65">
        <f>D12+0.1</f>
        <v>0.6</v>
      </c>
      <c r="E13" s="66">
        <f t="shared" si="8"/>
        <v>0</v>
      </c>
      <c r="F13" s="66">
        <f t="shared" si="9"/>
        <v>0</v>
      </c>
      <c r="G13" s="66" t="e">
        <f t="shared" si="0"/>
        <v>#DIV/0!</v>
      </c>
      <c r="H13" s="67" t="e">
        <f t="shared" si="1"/>
        <v>#DIV/0!</v>
      </c>
      <c r="I13" s="68">
        <f t="shared" si="10"/>
        <v>0.04</v>
      </c>
      <c r="J13" s="69">
        <f t="shared" si="2"/>
        <v>0.88899635867091487</v>
      </c>
      <c r="K13" s="70" t="e">
        <f t="shared" si="3"/>
        <v>#DIV/0!</v>
      </c>
      <c r="L13" s="71" t="e">
        <f>SUM($K$12:K13)</f>
        <v>#DIV/0!</v>
      </c>
      <c r="M13" s="72" t="e">
        <f t="shared" si="11"/>
        <v>#DIV/0!</v>
      </c>
      <c r="N13" s="73" t="e">
        <f>IRR($H$11:H13,I13)</f>
        <v>#VALUE!</v>
      </c>
      <c r="O13" s="74" t="e">
        <f t="shared" si="12"/>
        <v>#DIV/0!</v>
      </c>
      <c r="P13" s="849"/>
      <c r="Q13" s="74" t="e">
        <f t="shared" si="4"/>
        <v>#DIV/0!</v>
      </c>
      <c r="R13" s="75" t="e">
        <f>NPV($M$10,$H$11:H13)</f>
        <v>#DIV/0!</v>
      </c>
      <c r="S13" s="76">
        <f t="shared" si="5"/>
        <v>3</v>
      </c>
      <c r="T13" s="77">
        <v>0</v>
      </c>
      <c r="U13" s="78" t="e">
        <f t="shared" si="6"/>
        <v>#DIV/0!</v>
      </c>
      <c r="V13" s="79">
        <f t="shared" si="13"/>
        <v>0.04</v>
      </c>
      <c r="W13" s="80">
        <f t="shared" si="14"/>
        <v>0.88899635867091487</v>
      </c>
      <c r="X13" s="70" t="e">
        <f t="shared" si="7"/>
        <v>#DIV/0!</v>
      </c>
      <c r="Y13" s="71" t="e">
        <f>SUM($X$12:X13)</f>
        <v>#DIV/0!</v>
      </c>
      <c r="Z13" s="72" t="e">
        <f t="shared" si="15"/>
        <v>#DIV/0!</v>
      </c>
      <c r="AA13" s="73" t="e">
        <f>IRR($U$11:U13,V13)</f>
        <v>#VALUE!</v>
      </c>
      <c r="AB13" s="74" t="e">
        <f t="shared" ref="AB13:AB30" si="17">Y13/-$X$11</f>
        <v>#DIV/0!</v>
      </c>
      <c r="AC13" s="849"/>
      <c r="AD13" s="74" t="e">
        <f t="shared" ref="AD13:AD30" si="18">IF(AB13&gt;1,(S11-1)+(-$X$11-Y12)/(Y13-Y12),0)</f>
        <v>#DIV/0!</v>
      </c>
      <c r="AE13" s="75" t="e">
        <f>NPV(V13,$U$11:U13)</f>
        <v>#DIV/0!</v>
      </c>
      <c r="AG13" s="83"/>
    </row>
    <row r="14" spans="1:33" ht="19.5" customHeight="1" thickTop="1" thickBot="1">
      <c r="A14" s="63">
        <f t="shared" si="16"/>
        <v>4</v>
      </c>
      <c r="B14" s="64"/>
      <c r="C14" s="847"/>
      <c r="D14" s="65">
        <f>D13+0.1</f>
        <v>0.7</v>
      </c>
      <c r="E14" s="66">
        <f t="shared" si="8"/>
        <v>0</v>
      </c>
      <c r="F14" s="66">
        <f t="shared" si="9"/>
        <v>0</v>
      </c>
      <c r="G14" s="66" t="e">
        <f t="shared" si="0"/>
        <v>#DIV/0!</v>
      </c>
      <c r="H14" s="67" t="e">
        <f t="shared" si="1"/>
        <v>#DIV/0!</v>
      </c>
      <c r="I14" s="68">
        <f t="shared" si="10"/>
        <v>0.04</v>
      </c>
      <c r="J14" s="69">
        <f t="shared" si="2"/>
        <v>0.85480419102972571</v>
      </c>
      <c r="K14" s="70" t="e">
        <f t="shared" si="3"/>
        <v>#DIV/0!</v>
      </c>
      <c r="L14" s="71" t="e">
        <f>SUM($K$12:K14)</f>
        <v>#DIV/0!</v>
      </c>
      <c r="M14" s="72" t="e">
        <f t="shared" si="11"/>
        <v>#DIV/0!</v>
      </c>
      <c r="N14" s="73" t="e">
        <f>IRR($H$11:H14,I14)</f>
        <v>#VALUE!</v>
      </c>
      <c r="O14" s="74" t="e">
        <f t="shared" si="12"/>
        <v>#DIV/0!</v>
      </c>
      <c r="P14" s="849"/>
      <c r="Q14" s="74" t="e">
        <f t="shared" si="4"/>
        <v>#DIV/0!</v>
      </c>
      <c r="R14" s="75" t="e">
        <f>NPV($M$10,$H$11:H14)</f>
        <v>#DIV/0!</v>
      </c>
      <c r="S14" s="76">
        <f t="shared" si="5"/>
        <v>4</v>
      </c>
      <c r="T14" s="77">
        <v>0</v>
      </c>
      <c r="U14" s="78" t="e">
        <f t="shared" si="6"/>
        <v>#DIV/0!</v>
      </c>
      <c r="V14" s="79">
        <f t="shared" si="13"/>
        <v>0.04</v>
      </c>
      <c r="W14" s="80">
        <f t="shared" si="14"/>
        <v>0.85480419102972571</v>
      </c>
      <c r="X14" s="70" t="e">
        <f t="shared" si="7"/>
        <v>#DIV/0!</v>
      </c>
      <c r="Y14" s="71" t="e">
        <f>SUM($X$12:X14)</f>
        <v>#DIV/0!</v>
      </c>
      <c r="Z14" s="72" t="e">
        <f t="shared" si="15"/>
        <v>#DIV/0!</v>
      </c>
      <c r="AA14" s="73" t="e">
        <f>IRR($U$11:U14,V14)</f>
        <v>#VALUE!</v>
      </c>
      <c r="AB14" s="74" t="e">
        <f t="shared" si="17"/>
        <v>#DIV/0!</v>
      </c>
      <c r="AC14" s="849"/>
      <c r="AD14" s="74" t="e">
        <f t="shared" si="18"/>
        <v>#DIV/0!</v>
      </c>
      <c r="AE14" s="75" t="e">
        <f>NPV(V14,$U$11:U14)</f>
        <v>#DIV/0!</v>
      </c>
      <c r="AG14" s="83"/>
    </row>
    <row r="15" spans="1:33" ht="19.5" customHeight="1" thickTop="1" thickBot="1">
      <c r="A15" s="63">
        <f t="shared" si="16"/>
        <v>5</v>
      </c>
      <c r="B15" s="64">
        <v>0</v>
      </c>
      <c r="C15" s="847"/>
      <c r="D15" s="65">
        <f>D14+0.1</f>
        <v>0.79999999999999993</v>
      </c>
      <c r="E15" s="66">
        <f t="shared" si="8"/>
        <v>0</v>
      </c>
      <c r="F15" s="66">
        <f t="shared" si="9"/>
        <v>0</v>
      </c>
      <c r="G15" s="66" t="e">
        <f t="shared" si="0"/>
        <v>#DIV/0!</v>
      </c>
      <c r="H15" s="67" t="e">
        <f t="shared" si="1"/>
        <v>#DIV/0!</v>
      </c>
      <c r="I15" s="68">
        <f t="shared" si="10"/>
        <v>0.04</v>
      </c>
      <c r="J15" s="69">
        <f t="shared" si="2"/>
        <v>0.82192710675935154</v>
      </c>
      <c r="K15" s="70" t="e">
        <f t="shared" si="3"/>
        <v>#DIV/0!</v>
      </c>
      <c r="L15" s="71" t="e">
        <f>SUM($K$12:K15)</f>
        <v>#DIV/0!</v>
      </c>
      <c r="M15" s="72" t="e">
        <f t="shared" si="11"/>
        <v>#DIV/0!</v>
      </c>
      <c r="N15" s="73" t="e">
        <f>IRR($H$11:H15,I15)</f>
        <v>#VALUE!</v>
      </c>
      <c r="O15" s="74" t="e">
        <f t="shared" si="12"/>
        <v>#DIV/0!</v>
      </c>
      <c r="P15" s="849"/>
      <c r="Q15" s="74" t="e">
        <f t="shared" si="4"/>
        <v>#DIV/0!</v>
      </c>
      <c r="R15" s="75" t="e">
        <f>NPV($M$10,$H$11:H15)</f>
        <v>#DIV/0!</v>
      </c>
      <c r="S15" s="76">
        <f t="shared" si="5"/>
        <v>5</v>
      </c>
      <c r="T15" s="77">
        <v>0</v>
      </c>
      <c r="U15" s="78" t="e">
        <f t="shared" si="6"/>
        <v>#DIV/0!</v>
      </c>
      <c r="V15" s="79">
        <f t="shared" si="13"/>
        <v>0.04</v>
      </c>
      <c r="W15" s="80">
        <f t="shared" si="14"/>
        <v>0.82192710675935154</v>
      </c>
      <c r="X15" s="70" t="e">
        <f t="shared" si="7"/>
        <v>#DIV/0!</v>
      </c>
      <c r="Y15" s="71" t="e">
        <f>SUM($X$12:X15)</f>
        <v>#DIV/0!</v>
      </c>
      <c r="Z15" s="72" t="e">
        <f t="shared" si="15"/>
        <v>#DIV/0!</v>
      </c>
      <c r="AA15" s="73" t="e">
        <f>IRR($U$11:U15,V15)</f>
        <v>#VALUE!</v>
      </c>
      <c r="AB15" s="74" t="e">
        <f t="shared" si="17"/>
        <v>#DIV/0!</v>
      </c>
      <c r="AC15" s="849"/>
      <c r="AD15" s="74" t="e">
        <f t="shared" si="18"/>
        <v>#DIV/0!</v>
      </c>
      <c r="AE15" s="75" t="e">
        <f>NPV(V15,$U$11:U15)</f>
        <v>#DIV/0!</v>
      </c>
      <c r="AG15" s="83"/>
    </row>
    <row r="16" spans="1:33" ht="19.5" customHeight="1" thickTop="1" thickBot="1">
      <c r="A16" s="63">
        <f t="shared" si="16"/>
        <v>6</v>
      </c>
      <c r="B16" s="64">
        <v>0</v>
      </c>
      <c r="C16" s="847"/>
      <c r="D16" s="65">
        <f>D15+0.1</f>
        <v>0.89999999999999991</v>
      </c>
      <c r="E16" s="66">
        <f t="shared" si="8"/>
        <v>0</v>
      </c>
      <c r="F16" s="66">
        <f t="shared" si="9"/>
        <v>0</v>
      </c>
      <c r="G16" s="66" t="e">
        <f t="shared" si="0"/>
        <v>#DIV/0!</v>
      </c>
      <c r="H16" s="67" t="e">
        <f t="shared" si="1"/>
        <v>#DIV/0!</v>
      </c>
      <c r="I16" s="68">
        <f t="shared" si="10"/>
        <v>0.04</v>
      </c>
      <c r="J16" s="69">
        <f t="shared" si="2"/>
        <v>0.79031452573014571</v>
      </c>
      <c r="K16" s="70" t="e">
        <f t="shared" si="3"/>
        <v>#DIV/0!</v>
      </c>
      <c r="L16" s="71" t="e">
        <f>SUM($K$12:K16)</f>
        <v>#DIV/0!</v>
      </c>
      <c r="M16" s="72" t="e">
        <f t="shared" si="11"/>
        <v>#DIV/0!</v>
      </c>
      <c r="N16" s="73" t="e">
        <f>IRR($H$11:H16,I16)</f>
        <v>#VALUE!</v>
      </c>
      <c r="O16" s="74" t="e">
        <f t="shared" si="12"/>
        <v>#DIV/0!</v>
      </c>
      <c r="P16" s="849"/>
      <c r="Q16" s="74" t="e">
        <f t="shared" si="4"/>
        <v>#DIV/0!</v>
      </c>
      <c r="R16" s="75" t="e">
        <f>NPV($M$10,$H$11:H16)</f>
        <v>#DIV/0!</v>
      </c>
      <c r="S16" s="76">
        <f t="shared" si="5"/>
        <v>6</v>
      </c>
      <c r="T16" s="77">
        <v>0</v>
      </c>
      <c r="U16" s="78" t="e">
        <f t="shared" si="6"/>
        <v>#DIV/0!</v>
      </c>
      <c r="V16" s="79">
        <f t="shared" si="13"/>
        <v>0.04</v>
      </c>
      <c r="W16" s="80">
        <f t="shared" si="14"/>
        <v>0.79031452573014571</v>
      </c>
      <c r="X16" s="70" t="e">
        <f t="shared" si="7"/>
        <v>#DIV/0!</v>
      </c>
      <c r="Y16" s="71" t="e">
        <f>SUM($X$12:X16)</f>
        <v>#DIV/0!</v>
      </c>
      <c r="Z16" s="72" t="e">
        <f t="shared" si="15"/>
        <v>#DIV/0!</v>
      </c>
      <c r="AA16" s="73" t="e">
        <f>IRR($U$11:U16,V16)</f>
        <v>#VALUE!</v>
      </c>
      <c r="AB16" s="74" t="e">
        <f t="shared" si="17"/>
        <v>#DIV/0!</v>
      </c>
      <c r="AC16" s="849"/>
      <c r="AD16" s="74" t="e">
        <f t="shared" si="18"/>
        <v>#DIV/0!</v>
      </c>
      <c r="AE16" s="75" t="e">
        <f>NPV(V16,$U$11:U16)</f>
        <v>#DIV/0!</v>
      </c>
      <c r="AG16" s="83"/>
    </row>
    <row r="17" spans="1:41" ht="19.5" customHeight="1" thickTop="1" thickBot="1">
      <c r="A17" s="63">
        <f t="shared" si="16"/>
        <v>7</v>
      </c>
      <c r="B17" s="64">
        <v>0</v>
      </c>
      <c r="C17" s="847"/>
      <c r="D17" s="65">
        <f>D16+0.05</f>
        <v>0.95</v>
      </c>
      <c r="E17" s="66">
        <f t="shared" si="8"/>
        <v>0</v>
      </c>
      <c r="F17" s="66">
        <f t="shared" si="9"/>
        <v>0</v>
      </c>
      <c r="G17" s="66" t="e">
        <f t="shared" si="0"/>
        <v>#DIV/0!</v>
      </c>
      <c r="H17" s="67" t="e">
        <f t="shared" si="1"/>
        <v>#DIV/0!</v>
      </c>
      <c r="I17" s="68">
        <f t="shared" si="10"/>
        <v>0.04</v>
      </c>
      <c r="J17" s="69">
        <f t="shared" si="2"/>
        <v>0.75991781320206331</v>
      </c>
      <c r="K17" s="70" t="e">
        <f t="shared" si="3"/>
        <v>#DIV/0!</v>
      </c>
      <c r="L17" s="71" t="e">
        <f>SUM($K$12:K17)</f>
        <v>#DIV/0!</v>
      </c>
      <c r="M17" s="72" t="e">
        <f t="shared" si="11"/>
        <v>#DIV/0!</v>
      </c>
      <c r="N17" s="73" t="e">
        <f>IRR($H$11:H17,I17)</f>
        <v>#VALUE!</v>
      </c>
      <c r="O17" s="74" t="e">
        <f t="shared" si="12"/>
        <v>#DIV/0!</v>
      </c>
      <c r="P17" s="849"/>
      <c r="Q17" s="74" t="e">
        <f>IF(O17&gt;1,(A17-1)+(-$H$11-L17)/(L17-L16),0)</f>
        <v>#DIV/0!</v>
      </c>
      <c r="R17" s="75" t="e">
        <f>NPV($M$10,$H$11:H17)</f>
        <v>#DIV/0!</v>
      </c>
      <c r="S17" s="76">
        <f t="shared" si="5"/>
        <v>7</v>
      </c>
      <c r="T17" s="77">
        <v>0</v>
      </c>
      <c r="U17" s="78" t="e">
        <f t="shared" si="6"/>
        <v>#DIV/0!</v>
      </c>
      <c r="V17" s="79">
        <f t="shared" si="13"/>
        <v>0.04</v>
      </c>
      <c r="W17" s="80">
        <f t="shared" si="14"/>
        <v>0.75991781320206331</v>
      </c>
      <c r="X17" s="70" t="e">
        <f t="shared" si="7"/>
        <v>#DIV/0!</v>
      </c>
      <c r="Y17" s="71" t="e">
        <f>SUM($X$12:X17)</f>
        <v>#DIV/0!</v>
      </c>
      <c r="Z17" s="72" t="e">
        <f t="shared" si="15"/>
        <v>#DIV/0!</v>
      </c>
      <c r="AA17" s="73" t="e">
        <f>IRR($U$11:U17,V17)</f>
        <v>#VALUE!</v>
      </c>
      <c r="AB17" s="74" t="e">
        <f t="shared" si="17"/>
        <v>#DIV/0!</v>
      </c>
      <c r="AC17" s="849"/>
      <c r="AD17" s="74" t="e">
        <f t="shared" si="18"/>
        <v>#DIV/0!</v>
      </c>
      <c r="AE17" s="75" t="e">
        <f>NPV(V17,$U$11:U17)</f>
        <v>#DIV/0!</v>
      </c>
      <c r="AG17" s="83"/>
    </row>
    <row r="18" spans="1:41" ht="21.75" customHeight="1" thickTop="1" thickBot="1">
      <c r="A18" s="63">
        <f t="shared" si="16"/>
        <v>8</v>
      </c>
      <c r="B18" s="64">
        <v>0</v>
      </c>
      <c r="C18" s="847"/>
      <c r="D18" s="65">
        <f>D17</f>
        <v>0.95</v>
      </c>
      <c r="E18" s="66">
        <f t="shared" si="8"/>
        <v>0</v>
      </c>
      <c r="F18" s="66">
        <f t="shared" si="9"/>
        <v>0</v>
      </c>
      <c r="G18" s="66" t="e">
        <f t="shared" si="0"/>
        <v>#DIV/0!</v>
      </c>
      <c r="H18" s="67" t="e">
        <f t="shared" si="1"/>
        <v>#DIV/0!</v>
      </c>
      <c r="I18" s="68">
        <f t="shared" si="10"/>
        <v>0.04</v>
      </c>
      <c r="J18" s="69">
        <f t="shared" si="2"/>
        <v>0.73069020500198378</v>
      </c>
      <c r="K18" s="70" t="e">
        <f t="shared" si="3"/>
        <v>#DIV/0!</v>
      </c>
      <c r="L18" s="71" t="e">
        <f>SUM($K$12:K18)</f>
        <v>#DIV/0!</v>
      </c>
      <c r="M18" s="72" t="e">
        <f t="shared" si="11"/>
        <v>#DIV/0!</v>
      </c>
      <c r="N18" s="73" t="e">
        <f>IRR($H$11:H18,I18)</f>
        <v>#VALUE!</v>
      </c>
      <c r="O18" s="74" t="e">
        <f t="shared" si="12"/>
        <v>#DIV/0!</v>
      </c>
      <c r="P18" s="849"/>
      <c r="Q18" s="74" t="e">
        <f t="shared" ref="Q18:Q30" si="19">IF(O18&gt;1,(A18-1)+(-$H$11-L18)/(L18-L17),0)</f>
        <v>#DIV/0!</v>
      </c>
      <c r="R18" s="75" t="e">
        <f>NPV($M$10,$H$11:H18)</f>
        <v>#DIV/0!</v>
      </c>
      <c r="S18" s="76">
        <f t="shared" si="5"/>
        <v>8</v>
      </c>
      <c r="T18" s="77">
        <v>0</v>
      </c>
      <c r="U18" s="78" t="e">
        <f t="shared" si="6"/>
        <v>#DIV/0!</v>
      </c>
      <c r="V18" s="79">
        <f t="shared" si="13"/>
        <v>0.04</v>
      </c>
      <c r="W18" s="80">
        <f t="shared" si="14"/>
        <v>0.73069020500198378</v>
      </c>
      <c r="X18" s="70" t="e">
        <f t="shared" si="7"/>
        <v>#DIV/0!</v>
      </c>
      <c r="Y18" s="71" t="e">
        <f>SUM($X$12:X18)</f>
        <v>#DIV/0!</v>
      </c>
      <c r="Z18" s="72" t="e">
        <f t="shared" si="15"/>
        <v>#DIV/0!</v>
      </c>
      <c r="AA18" s="73" t="e">
        <f>IRR($U$11:U18,V18)</f>
        <v>#VALUE!</v>
      </c>
      <c r="AB18" s="74" t="e">
        <f t="shared" si="17"/>
        <v>#DIV/0!</v>
      </c>
      <c r="AC18" s="849"/>
      <c r="AD18" s="74" t="e">
        <f t="shared" si="18"/>
        <v>#DIV/0!</v>
      </c>
      <c r="AE18" s="75" t="e">
        <f>NPV(V18,$U$11:U18)</f>
        <v>#DIV/0!</v>
      </c>
      <c r="AG18" s="83"/>
    </row>
    <row r="19" spans="1:41" ht="19.5" customHeight="1" thickTop="1" thickBot="1">
      <c r="A19" s="63">
        <f t="shared" si="16"/>
        <v>9</v>
      </c>
      <c r="B19" s="64">
        <v>0</v>
      </c>
      <c r="C19" s="847"/>
      <c r="D19" s="65">
        <f>D18</f>
        <v>0.95</v>
      </c>
      <c r="E19" s="66">
        <f t="shared" si="8"/>
        <v>0</v>
      </c>
      <c r="F19" s="66">
        <f t="shared" si="9"/>
        <v>0</v>
      </c>
      <c r="G19" s="66" t="e">
        <f t="shared" si="0"/>
        <v>#DIV/0!</v>
      </c>
      <c r="H19" s="67" t="e">
        <f t="shared" si="1"/>
        <v>#DIV/0!</v>
      </c>
      <c r="I19" s="68">
        <f t="shared" si="10"/>
        <v>0.04</v>
      </c>
      <c r="J19" s="69">
        <f t="shared" si="2"/>
        <v>0.70258673557883045</v>
      </c>
      <c r="K19" s="70" t="e">
        <f t="shared" si="3"/>
        <v>#DIV/0!</v>
      </c>
      <c r="L19" s="71" t="e">
        <f>SUM($K$12:K19)</f>
        <v>#DIV/0!</v>
      </c>
      <c r="M19" s="72" t="e">
        <f t="shared" si="11"/>
        <v>#DIV/0!</v>
      </c>
      <c r="N19" s="73" t="e">
        <f>IRR($H$11:H19,I19)</f>
        <v>#VALUE!</v>
      </c>
      <c r="O19" s="74" t="e">
        <f t="shared" si="12"/>
        <v>#DIV/0!</v>
      </c>
      <c r="P19" s="849"/>
      <c r="Q19" s="74" t="e">
        <f t="shared" si="19"/>
        <v>#DIV/0!</v>
      </c>
      <c r="R19" s="75" t="e">
        <f>NPV($M$10,$H$11:H19)</f>
        <v>#DIV/0!</v>
      </c>
      <c r="S19" s="76">
        <f t="shared" si="5"/>
        <v>9</v>
      </c>
      <c r="T19" s="77">
        <v>0</v>
      </c>
      <c r="U19" s="78" t="e">
        <f t="shared" si="6"/>
        <v>#DIV/0!</v>
      </c>
      <c r="V19" s="79">
        <f t="shared" si="13"/>
        <v>0.04</v>
      </c>
      <c r="W19" s="80">
        <f t="shared" si="14"/>
        <v>0.70258673557883045</v>
      </c>
      <c r="X19" s="70" t="e">
        <f t="shared" si="7"/>
        <v>#DIV/0!</v>
      </c>
      <c r="Y19" s="71" t="e">
        <f>SUM($X$12:X19)</f>
        <v>#DIV/0!</v>
      </c>
      <c r="Z19" s="72" t="e">
        <f t="shared" si="15"/>
        <v>#DIV/0!</v>
      </c>
      <c r="AA19" s="73" t="e">
        <f>IRR($U$11:U19,V19)</f>
        <v>#VALUE!</v>
      </c>
      <c r="AB19" s="74" t="e">
        <f t="shared" si="17"/>
        <v>#DIV/0!</v>
      </c>
      <c r="AC19" s="849"/>
      <c r="AD19" s="74" t="e">
        <f t="shared" si="18"/>
        <v>#DIV/0!</v>
      </c>
      <c r="AE19" s="75" t="e">
        <f>NPV(V19,$U$11:U19)</f>
        <v>#DIV/0!</v>
      </c>
      <c r="AG19" s="83"/>
    </row>
    <row r="20" spans="1:41" ht="19.5" customHeight="1" thickTop="1" thickBot="1">
      <c r="A20" s="84">
        <f t="shared" si="16"/>
        <v>10</v>
      </c>
      <c r="B20" s="85">
        <v>0</v>
      </c>
      <c r="C20" s="847"/>
      <c r="D20" s="86">
        <f t="shared" ref="D20:D30" si="20">D19</f>
        <v>0.95</v>
      </c>
      <c r="E20" s="87">
        <f t="shared" si="8"/>
        <v>0</v>
      </c>
      <c r="F20" s="87">
        <f t="shared" si="9"/>
        <v>0</v>
      </c>
      <c r="G20" s="87" t="e">
        <f t="shared" si="0"/>
        <v>#DIV/0!</v>
      </c>
      <c r="H20" s="88" t="e">
        <f t="shared" si="1"/>
        <v>#DIV/0!</v>
      </c>
      <c r="I20" s="89">
        <f t="shared" si="10"/>
        <v>0.04</v>
      </c>
      <c r="J20" s="90">
        <f t="shared" si="2"/>
        <v>0.67556416882579851</v>
      </c>
      <c r="K20" s="91" t="e">
        <f t="shared" si="3"/>
        <v>#DIV/0!</v>
      </c>
      <c r="L20" s="92" t="e">
        <f>SUM($K$12:K20)</f>
        <v>#DIV/0!</v>
      </c>
      <c r="M20" s="93" t="e">
        <f t="shared" si="11"/>
        <v>#DIV/0!</v>
      </c>
      <c r="N20" s="94" t="e">
        <f>IRR($H$11:H20,I20)</f>
        <v>#VALUE!</v>
      </c>
      <c r="O20" s="74" t="e">
        <f t="shared" si="12"/>
        <v>#DIV/0!</v>
      </c>
      <c r="P20" s="849"/>
      <c r="Q20" s="74" t="e">
        <f t="shared" si="19"/>
        <v>#DIV/0!</v>
      </c>
      <c r="R20" s="75" t="e">
        <f>NPV($M$10,$H$11:H20)</f>
        <v>#DIV/0!</v>
      </c>
      <c r="S20" s="76">
        <f t="shared" si="5"/>
        <v>10</v>
      </c>
      <c r="T20" s="77">
        <v>0</v>
      </c>
      <c r="U20" s="78" t="e">
        <f t="shared" si="6"/>
        <v>#DIV/0!</v>
      </c>
      <c r="V20" s="95">
        <f t="shared" si="13"/>
        <v>0.04</v>
      </c>
      <c r="W20" s="80">
        <f t="shared" si="14"/>
        <v>0.67556416882579851</v>
      </c>
      <c r="X20" s="70" t="e">
        <f t="shared" si="7"/>
        <v>#DIV/0!</v>
      </c>
      <c r="Y20" s="71" t="e">
        <f>SUM($X$12:X20)</f>
        <v>#DIV/0!</v>
      </c>
      <c r="Z20" s="96" t="e">
        <f t="shared" si="15"/>
        <v>#DIV/0!</v>
      </c>
      <c r="AA20" s="73" t="e">
        <f>IRR($U$11:U20,V20)</f>
        <v>#VALUE!</v>
      </c>
      <c r="AB20" s="74" t="e">
        <f t="shared" si="17"/>
        <v>#DIV/0!</v>
      </c>
      <c r="AC20" s="849"/>
      <c r="AD20" s="74" t="e">
        <f t="shared" si="18"/>
        <v>#DIV/0!</v>
      </c>
      <c r="AE20" s="75" t="e">
        <f>NPV(V20,$U$11:U20)</f>
        <v>#DIV/0!</v>
      </c>
      <c r="AG20" s="83"/>
    </row>
    <row r="21" spans="1:41" ht="19.5" customHeight="1" thickTop="1" thickBot="1">
      <c r="A21" s="63">
        <f t="shared" si="16"/>
        <v>11</v>
      </c>
      <c r="B21" s="64">
        <v>0</v>
      </c>
      <c r="C21" s="847"/>
      <c r="D21" s="65">
        <f t="shared" si="20"/>
        <v>0.95</v>
      </c>
      <c r="E21" s="66">
        <f t="shared" si="8"/>
        <v>0</v>
      </c>
      <c r="F21" s="66">
        <f t="shared" si="9"/>
        <v>0</v>
      </c>
      <c r="G21" s="66" t="e">
        <f t="shared" si="0"/>
        <v>#DIV/0!</v>
      </c>
      <c r="H21" s="67" t="e">
        <f t="shared" si="1"/>
        <v>#DIV/0!</v>
      </c>
      <c r="I21" s="68">
        <f t="shared" si="10"/>
        <v>0.04</v>
      </c>
      <c r="J21" s="69">
        <f t="shared" si="2"/>
        <v>0.6495809315632679</v>
      </c>
      <c r="K21" s="70" t="e">
        <f t="shared" si="3"/>
        <v>#DIV/0!</v>
      </c>
      <c r="L21" s="71" t="e">
        <f>SUM($K$12:K21)</f>
        <v>#DIV/0!</v>
      </c>
      <c r="M21" s="72" t="e">
        <f t="shared" si="11"/>
        <v>#DIV/0!</v>
      </c>
      <c r="N21" s="73" t="e">
        <f>IRR($H$11:H21,I21)</f>
        <v>#VALUE!</v>
      </c>
      <c r="O21" s="74" t="e">
        <f t="shared" si="12"/>
        <v>#DIV/0!</v>
      </c>
      <c r="P21" s="849"/>
      <c r="Q21" s="74" t="e">
        <f t="shared" si="19"/>
        <v>#DIV/0!</v>
      </c>
      <c r="R21" s="75" t="e">
        <f>NPV($M$10,$H$11:H21)</f>
        <v>#DIV/0!</v>
      </c>
      <c r="S21" s="76">
        <f t="shared" si="5"/>
        <v>11</v>
      </c>
      <c r="T21" s="77">
        <v>0</v>
      </c>
      <c r="U21" s="78" t="e">
        <f t="shared" si="6"/>
        <v>#DIV/0!</v>
      </c>
      <c r="V21" s="79">
        <f t="shared" si="13"/>
        <v>0.04</v>
      </c>
      <c r="W21" s="80">
        <f t="shared" si="14"/>
        <v>0.6495809315632679</v>
      </c>
      <c r="X21" s="70" t="e">
        <f t="shared" si="7"/>
        <v>#DIV/0!</v>
      </c>
      <c r="Y21" s="71" t="e">
        <f>SUM($X$12:X21)</f>
        <v>#DIV/0!</v>
      </c>
      <c r="Z21" s="72" t="e">
        <f t="shared" si="15"/>
        <v>#DIV/0!</v>
      </c>
      <c r="AA21" s="73" t="e">
        <f>IRR($U$11:U21,V21)</f>
        <v>#VALUE!</v>
      </c>
      <c r="AB21" s="74" t="e">
        <f t="shared" si="17"/>
        <v>#DIV/0!</v>
      </c>
      <c r="AC21" s="849"/>
      <c r="AD21" s="74" t="e">
        <f t="shared" si="18"/>
        <v>#DIV/0!</v>
      </c>
      <c r="AE21" s="75" t="e">
        <f>NPV(V21,$U$11:U21)</f>
        <v>#DIV/0!</v>
      </c>
      <c r="AG21" s="83"/>
    </row>
    <row r="22" spans="1:41" ht="19.5" customHeight="1" thickTop="1" thickBot="1">
      <c r="A22" s="63">
        <f t="shared" si="16"/>
        <v>12</v>
      </c>
      <c r="B22" s="64">
        <v>0</v>
      </c>
      <c r="C22" s="847"/>
      <c r="D22" s="65">
        <f t="shared" si="20"/>
        <v>0.95</v>
      </c>
      <c r="E22" s="66">
        <f t="shared" si="8"/>
        <v>0</v>
      </c>
      <c r="F22" s="66">
        <f t="shared" si="9"/>
        <v>0</v>
      </c>
      <c r="G22" s="66" t="e">
        <f t="shared" si="0"/>
        <v>#DIV/0!</v>
      </c>
      <c r="H22" s="67" t="e">
        <f t="shared" si="1"/>
        <v>#DIV/0!</v>
      </c>
      <c r="I22" s="68">
        <f t="shared" si="10"/>
        <v>0.04</v>
      </c>
      <c r="J22" s="69">
        <f t="shared" si="2"/>
        <v>0.62459704958006512</v>
      </c>
      <c r="K22" s="70" t="e">
        <f t="shared" si="3"/>
        <v>#DIV/0!</v>
      </c>
      <c r="L22" s="71" t="e">
        <f>SUM($K$12:K22)</f>
        <v>#DIV/0!</v>
      </c>
      <c r="M22" s="72" t="e">
        <f t="shared" si="11"/>
        <v>#DIV/0!</v>
      </c>
      <c r="N22" s="73" t="e">
        <f>IRR($H$11:H22,I22)</f>
        <v>#VALUE!</v>
      </c>
      <c r="O22" s="74" t="e">
        <f t="shared" si="12"/>
        <v>#DIV/0!</v>
      </c>
      <c r="P22" s="849"/>
      <c r="Q22" s="74" t="e">
        <f t="shared" si="19"/>
        <v>#DIV/0!</v>
      </c>
      <c r="R22" s="75" t="e">
        <f>NPV($M$10,$H$11:H22)</f>
        <v>#DIV/0!</v>
      </c>
      <c r="S22" s="76">
        <f t="shared" si="5"/>
        <v>12</v>
      </c>
      <c r="T22" s="77">
        <v>0</v>
      </c>
      <c r="U22" s="78" t="e">
        <f t="shared" si="6"/>
        <v>#DIV/0!</v>
      </c>
      <c r="V22" s="79">
        <f t="shared" si="13"/>
        <v>0.04</v>
      </c>
      <c r="W22" s="80">
        <f t="shared" si="14"/>
        <v>0.62459704958006512</v>
      </c>
      <c r="X22" s="70" t="e">
        <f t="shared" si="7"/>
        <v>#DIV/0!</v>
      </c>
      <c r="Y22" s="71" t="e">
        <f>SUM($X$12:X22)</f>
        <v>#DIV/0!</v>
      </c>
      <c r="Z22" s="72" t="e">
        <f t="shared" si="15"/>
        <v>#DIV/0!</v>
      </c>
      <c r="AA22" s="73" t="e">
        <f>IRR($U$11:U22,V22)</f>
        <v>#VALUE!</v>
      </c>
      <c r="AB22" s="74" t="e">
        <f t="shared" si="17"/>
        <v>#DIV/0!</v>
      </c>
      <c r="AC22" s="849"/>
      <c r="AD22" s="74" t="e">
        <f t="shared" si="18"/>
        <v>#DIV/0!</v>
      </c>
      <c r="AE22" s="75" t="e">
        <f>NPV(V22,$U$11:U22)</f>
        <v>#DIV/0!</v>
      </c>
      <c r="AG22" s="83"/>
    </row>
    <row r="23" spans="1:41" ht="19.5" hidden="1" customHeight="1" outlineLevel="1" thickTop="1" thickBot="1">
      <c r="A23" s="63">
        <f t="shared" si="16"/>
        <v>13</v>
      </c>
      <c r="B23" s="64">
        <v>0</v>
      </c>
      <c r="C23" s="847"/>
      <c r="D23" s="65">
        <f t="shared" si="20"/>
        <v>0.95</v>
      </c>
      <c r="E23" s="66">
        <f t="shared" si="8"/>
        <v>0</v>
      </c>
      <c r="F23" s="66">
        <f t="shared" si="9"/>
        <v>0</v>
      </c>
      <c r="G23" s="66" t="e">
        <f t="shared" si="0"/>
        <v>#DIV/0!</v>
      </c>
      <c r="H23" s="67" t="e">
        <f t="shared" si="1"/>
        <v>#DIV/0!</v>
      </c>
      <c r="I23" s="68">
        <f t="shared" si="10"/>
        <v>0.04</v>
      </c>
      <c r="J23" s="69">
        <f t="shared" si="2"/>
        <v>0.600574086134678</v>
      </c>
      <c r="K23" s="70" t="e">
        <f t="shared" si="3"/>
        <v>#DIV/0!</v>
      </c>
      <c r="L23" s="71" t="e">
        <f>SUM($K$12:K23)</f>
        <v>#DIV/0!</v>
      </c>
      <c r="M23" s="72" t="e">
        <f t="shared" si="11"/>
        <v>#DIV/0!</v>
      </c>
      <c r="N23" s="73" t="e">
        <f>IRR($H$11:H23,I23)</f>
        <v>#VALUE!</v>
      </c>
      <c r="O23" s="74" t="e">
        <f t="shared" si="12"/>
        <v>#DIV/0!</v>
      </c>
      <c r="P23" s="849"/>
      <c r="Q23" s="74" t="e">
        <f t="shared" si="19"/>
        <v>#DIV/0!</v>
      </c>
      <c r="R23" s="75" t="e">
        <f>NPV($M$10,$H$11:H23)</f>
        <v>#DIV/0!</v>
      </c>
      <c r="S23" s="76">
        <f t="shared" si="5"/>
        <v>13</v>
      </c>
      <c r="T23" s="77">
        <v>0</v>
      </c>
      <c r="U23" s="78" t="e">
        <f t="shared" si="6"/>
        <v>#DIV/0!</v>
      </c>
      <c r="V23" s="79">
        <f t="shared" si="13"/>
        <v>0.04</v>
      </c>
      <c r="W23" s="80">
        <f t="shared" si="14"/>
        <v>0.600574086134678</v>
      </c>
      <c r="X23" s="70" t="e">
        <f t="shared" si="7"/>
        <v>#DIV/0!</v>
      </c>
      <c r="Y23" s="71" t="e">
        <f>SUM($X$12:X23)</f>
        <v>#DIV/0!</v>
      </c>
      <c r="Z23" s="72" t="e">
        <f t="shared" si="15"/>
        <v>#DIV/0!</v>
      </c>
      <c r="AA23" s="73" t="e">
        <f>IRR($U$11:U23,V23)</f>
        <v>#VALUE!</v>
      </c>
      <c r="AB23" s="74" t="e">
        <f t="shared" si="17"/>
        <v>#DIV/0!</v>
      </c>
      <c r="AC23" s="849"/>
      <c r="AD23" s="74" t="e">
        <f t="shared" si="18"/>
        <v>#DIV/0!</v>
      </c>
      <c r="AE23" s="75" t="e">
        <f>NPV(V23,$U$11:U23)</f>
        <v>#DIV/0!</v>
      </c>
      <c r="AG23" s="83"/>
    </row>
    <row r="24" spans="1:41" ht="19.5" hidden="1" customHeight="1" outlineLevel="1" thickTop="1" thickBot="1">
      <c r="A24" s="63">
        <f t="shared" si="16"/>
        <v>14</v>
      </c>
      <c r="B24" s="64">
        <v>0</v>
      </c>
      <c r="C24" s="847"/>
      <c r="D24" s="65">
        <f t="shared" si="20"/>
        <v>0.95</v>
      </c>
      <c r="E24" s="66">
        <f t="shared" si="8"/>
        <v>0</v>
      </c>
      <c r="F24" s="66">
        <f t="shared" si="9"/>
        <v>0</v>
      </c>
      <c r="G24" s="66" t="e">
        <f t="shared" si="0"/>
        <v>#DIV/0!</v>
      </c>
      <c r="H24" s="67" t="e">
        <f t="shared" si="1"/>
        <v>#DIV/0!</v>
      </c>
      <c r="I24" s="68">
        <f t="shared" si="10"/>
        <v>0.04</v>
      </c>
      <c r="J24" s="69">
        <f t="shared" si="2"/>
        <v>0.57747508282180582</v>
      </c>
      <c r="K24" s="70" t="e">
        <f t="shared" si="3"/>
        <v>#DIV/0!</v>
      </c>
      <c r="L24" s="71" t="e">
        <f>SUM($K$12:K24)</f>
        <v>#DIV/0!</v>
      </c>
      <c r="M24" s="72" t="e">
        <f t="shared" si="11"/>
        <v>#DIV/0!</v>
      </c>
      <c r="N24" s="73" t="e">
        <f>IRR($H$11:H24,I24)</f>
        <v>#VALUE!</v>
      </c>
      <c r="O24" s="74" t="e">
        <f t="shared" si="12"/>
        <v>#DIV/0!</v>
      </c>
      <c r="P24" s="849"/>
      <c r="Q24" s="74" t="e">
        <f t="shared" si="19"/>
        <v>#DIV/0!</v>
      </c>
      <c r="R24" s="75" t="e">
        <f>NPV($M$10,$H$11:H24)</f>
        <v>#DIV/0!</v>
      </c>
      <c r="S24" s="76">
        <f t="shared" si="5"/>
        <v>14</v>
      </c>
      <c r="T24" s="77">
        <v>0</v>
      </c>
      <c r="U24" s="78" t="e">
        <f t="shared" si="6"/>
        <v>#DIV/0!</v>
      </c>
      <c r="V24" s="79">
        <f t="shared" si="13"/>
        <v>0.04</v>
      </c>
      <c r="W24" s="80">
        <f t="shared" si="14"/>
        <v>0.57747508282180582</v>
      </c>
      <c r="X24" s="70" t="e">
        <f t="shared" si="7"/>
        <v>#DIV/0!</v>
      </c>
      <c r="Y24" s="71" t="e">
        <f>SUM($X$12:X24)</f>
        <v>#DIV/0!</v>
      </c>
      <c r="Z24" s="72" t="e">
        <f t="shared" si="15"/>
        <v>#DIV/0!</v>
      </c>
      <c r="AA24" s="73" t="e">
        <f>IRR($U$11:U24,V24)</f>
        <v>#VALUE!</v>
      </c>
      <c r="AB24" s="74" t="e">
        <f t="shared" si="17"/>
        <v>#DIV/0!</v>
      </c>
      <c r="AC24" s="849"/>
      <c r="AD24" s="74" t="e">
        <f t="shared" si="18"/>
        <v>#DIV/0!</v>
      </c>
      <c r="AE24" s="75" t="e">
        <f>NPV(V24,$U$11:U24)</f>
        <v>#DIV/0!</v>
      </c>
      <c r="AG24" s="83"/>
    </row>
    <row r="25" spans="1:41" ht="19.5" hidden="1" customHeight="1" outlineLevel="1" thickTop="1" thickBot="1">
      <c r="A25" s="63">
        <f t="shared" si="16"/>
        <v>15</v>
      </c>
      <c r="B25" s="64">
        <v>0</v>
      </c>
      <c r="C25" s="847"/>
      <c r="D25" s="65">
        <f t="shared" si="20"/>
        <v>0.95</v>
      </c>
      <c r="E25" s="66">
        <f t="shared" si="8"/>
        <v>0</v>
      </c>
      <c r="F25" s="66">
        <f t="shared" si="9"/>
        <v>0</v>
      </c>
      <c r="G25" s="66" t="e">
        <f t="shared" si="0"/>
        <v>#DIV/0!</v>
      </c>
      <c r="H25" s="67" t="e">
        <f t="shared" si="1"/>
        <v>#DIV/0!</v>
      </c>
      <c r="I25" s="68">
        <f t="shared" si="10"/>
        <v>0.04</v>
      </c>
      <c r="J25" s="69">
        <f t="shared" si="2"/>
        <v>0.55526450271327477</v>
      </c>
      <c r="K25" s="70" t="e">
        <f t="shared" si="3"/>
        <v>#DIV/0!</v>
      </c>
      <c r="L25" s="71" t="e">
        <f>SUM($K$12:K25)</f>
        <v>#DIV/0!</v>
      </c>
      <c r="M25" s="72" t="e">
        <f t="shared" si="11"/>
        <v>#DIV/0!</v>
      </c>
      <c r="N25" s="73" t="e">
        <f>IRR($H$11:H25,I25)</f>
        <v>#VALUE!</v>
      </c>
      <c r="O25" s="74" t="e">
        <f t="shared" si="12"/>
        <v>#DIV/0!</v>
      </c>
      <c r="P25" s="849"/>
      <c r="Q25" s="74" t="e">
        <f t="shared" si="19"/>
        <v>#DIV/0!</v>
      </c>
      <c r="R25" s="75" t="e">
        <f>NPV($M$10,$H$11:H25)</f>
        <v>#DIV/0!</v>
      </c>
      <c r="S25" s="76">
        <f t="shared" si="5"/>
        <v>15</v>
      </c>
      <c r="T25" s="77">
        <v>0</v>
      </c>
      <c r="U25" s="78" t="e">
        <f t="shared" si="6"/>
        <v>#DIV/0!</v>
      </c>
      <c r="V25" s="79">
        <f t="shared" si="13"/>
        <v>0.04</v>
      </c>
      <c r="W25" s="80">
        <f t="shared" si="14"/>
        <v>0.55526450271327477</v>
      </c>
      <c r="X25" s="70" t="e">
        <f t="shared" si="7"/>
        <v>#DIV/0!</v>
      </c>
      <c r="Y25" s="71" t="e">
        <f>SUM($X$12:X25)</f>
        <v>#DIV/0!</v>
      </c>
      <c r="Z25" s="72" t="e">
        <f t="shared" si="15"/>
        <v>#DIV/0!</v>
      </c>
      <c r="AA25" s="73" t="e">
        <f>IRR($U$11:U25,V25)</f>
        <v>#VALUE!</v>
      </c>
      <c r="AB25" s="74" t="e">
        <f t="shared" si="17"/>
        <v>#DIV/0!</v>
      </c>
      <c r="AC25" s="849"/>
      <c r="AD25" s="74" t="e">
        <f t="shared" si="18"/>
        <v>#DIV/0!</v>
      </c>
      <c r="AE25" s="75" t="e">
        <f>NPV(V25,$U$11:U25)</f>
        <v>#DIV/0!</v>
      </c>
    </row>
    <row r="26" spans="1:41" ht="19.5" hidden="1" customHeight="1" outlineLevel="1" thickTop="1" thickBot="1">
      <c r="A26" s="63">
        <f t="shared" si="16"/>
        <v>16</v>
      </c>
      <c r="B26" s="64">
        <v>0</v>
      </c>
      <c r="C26" s="847"/>
      <c r="D26" s="65">
        <f t="shared" si="20"/>
        <v>0.95</v>
      </c>
      <c r="E26" s="66">
        <f t="shared" si="8"/>
        <v>0</v>
      </c>
      <c r="F26" s="66">
        <f t="shared" si="9"/>
        <v>0</v>
      </c>
      <c r="G26" s="66" t="e">
        <f t="shared" si="0"/>
        <v>#DIV/0!</v>
      </c>
      <c r="H26" s="67" t="e">
        <f t="shared" si="1"/>
        <v>#DIV/0!</v>
      </c>
      <c r="I26" s="68">
        <f t="shared" si="10"/>
        <v>0.04</v>
      </c>
      <c r="J26" s="69">
        <f t="shared" si="2"/>
        <v>0.53390817568584104</v>
      </c>
      <c r="K26" s="70" t="e">
        <f t="shared" si="3"/>
        <v>#DIV/0!</v>
      </c>
      <c r="L26" s="71" t="e">
        <f>SUM($K$12:K26)</f>
        <v>#DIV/0!</v>
      </c>
      <c r="M26" s="72" t="e">
        <f t="shared" si="11"/>
        <v>#DIV/0!</v>
      </c>
      <c r="N26" s="73" t="e">
        <f>IRR($H$11:H26,I26)</f>
        <v>#VALUE!</v>
      </c>
      <c r="O26" s="74" t="e">
        <f t="shared" si="12"/>
        <v>#DIV/0!</v>
      </c>
      <c r="P26" s="849"/>
      <c r="Q26" s="74" t="e">
        <f t="shared" si="19"/>
        <v>#DIV/0!</v>
      </c>
      <c r="R26" s="75" t="e">
        <f>NPV($M$10,$H$11:H26)</f>
        <v>#DIV/0!</v>
      </c>
      <c r="S26" s="76">
        <f t="shared" si="5"/>
        <v>16</v>
      </c>
      <c r="T26" s="77">
        <v>0</v>
      </c>
      <c r="U26" s="78" t="e">
        <f t="shared" si="6"/>
        <v>#DIV/0!</v>
      </c>
      <c r="V26" s="79">
        <f t="shared" si="13"/>
        <v>0.04</v>
      </c>
      <c r="W26" s="80">
        <f t="shared" si="14"/>
        <v>0.53390817568584104</v>
      </c>
      <c r="X26" s="70" t="e">
        <f t="shared" si="7"/>
        <v>#DIV/0!</v>
      </c>
      <c r="Y26" s="71" t="e">
        <f>SUM($X$12:X26)</f>
        <v>#DIV/0!</v>
      </c>
      <c r="Z26" s="72" t="e">
        <f t="shared" si="15"/>
        <v>#DIV/0!</v>
      </c>
      <c r="AA26" s="73" t="e">
        <f>IRR($U$11:U26,V26)</f>
        <v>#VALUE!</v>
      </c>
      <c r="AB26" s="74" t="e">
        <f t="shared" si="17"/>
        <v>#DIV/0!</v>
      </c>
      <c r="AC26" s="849"/>
      <c r="AD26" s="74" t="e">
        <f t="shared" si="18"/>
        <v>#DIV/0!</v>
      </c>
      <c r="AE26" s="75" t="e">
        <f>NPV(V26,$U$11:U26)</f>
        <v>#DIV/0!</v>
      </c>
    </row>
    <row r="27" spans="1:41" ht="19.5" hidden="1" customHeight="1" outlineLevel="1" thickTop="1" thickBot="1">
      <c r="A27" s="63">
        <f t="shared" si="16"/>
        <v>17</v>
      </c>
      <c r="B27" s="64">
        <v>0</v>
      </c>
      <c r="C27" s="847"/>
      <c r="D27" s="65">
        <f t="shared" si="20"/>
        <v>0.95</v>
      </c>
      <c r="E27" s="66">
        <f t="shared" si="8"/>
        <v>0</v>
      </c>
      <c r="F27" s="66">
        <f t="shared" si="9"/>
        <v>0</v>
      </c>
      <c r="G27" s="66" t="e">
        <f t="shared" si="0"/>
        <v>#DIV/0!</v>
      </c>
      <c r="H27" s="67" t="e">
        <f t="shared" si="1"/>
        <v>#DIV/0!</v>
      </c>
      <c r="I27" s="68">
        <f t="shared" si="10"/>
        <v>0.04</v>
      </c>
      <c r="J27" s="69">
        <f t="shared" si="2"/>
        <v>0.51337324585177024</v>
      </c>
      <c r="K27" s="70" t="e">
        <f t="shared" si="3"/>
        <v>#DIV/0!</v>
      </c>
      <c r="L27" s="71" t="e">
        <f>SUM($K$12:K27)</f>
        <v>#DIV/0!</v>
      </c>
      <c r="M27" s="72" t="e">
        <f t="shared" si="11"/>
        <v>#DIV/0!</v>
      </c>
      <c r="N27" s="73" t="e">
        <f>IRR($H$11:H27,I27)</f>
        <v>#VALUE!</v>
      </c>
      <c r="O27" s="74" t="e">
        <f t="shared" si="12"/>
        <v>#DIV/0!</v>
      </c>
      <c r="P27" s="849"/>
      <c r="Q27" s="74" t="e">
        <f t="shared" si="19"/>
        <v>#DIV/0!</v>
      </c>
      <c r="R27" s="75" t="e">
        <f>NPV($M$10,$H$11:H27)</f>
        <v>#DIV/0!</v>
      </c>
      <c r="S27" s="76">
        <f t="shared" si="5"/>
        <v>17</v>
      </c>
      <c r="T27" s="77">
        <v>0</v>
      </c>
      <c r="U27" s="78" t="e">
        <f t="shared" si="6"/>
        <v>#DIV/0!</v>
      </c>
      <c r="V27" s="79">
        <f t="shared" si="13"/>
        <v>0.04</v>
      </c>
      <c r="W27" s="80">
        <f t="shared" si="14"/>
        <v>0.51337324585177024</v>
      </c>
      <c r="X27" s="70" t="e">
        <f t="shared" si="7"/>
        <v>#DIV/0!</v>
      </c>
      <c r="Y27" s="71" t="e">
        <f>SUM($X$12:X27)</f>
        <v>#DIV/0!</v>
      </c>
      <c r="Z27" s="72" t="e">
        <f t="shared" si="15"/>
        <v>#DIV/0!</v>
      </c>
      <c r="AA27" s="73" t="e">
        <f>IRR($U$11:U27,V27)</f>
        <v>#VALUE!</v>
      </c>
      <c r="AB27" s="74" t="e">
        <f t="shared" si="17"/>
        <v>#DIV/0!</v>
      </c>
      <c r="AC27" s="849"/>
      <c r="AD27" s="74" t="e">
        <f t="shared" si="18"/>
        <v>#DIV/0!</v>
      </c>
      <c r="AE27" s="75" t="e">
        <f>NPV(V27,$U$11:U27)</f>
        <v>#DIV/0!</v>
      </c>
    </row>
    <row r="28" spans="1:41" ht="19.5" hidden="1" customHeight="1" outlineLevel="1" thickTop="1" thickBot="1">
      <c r="A28" s="63">
        <f t="shared" si="16"/>
        <v>18</v>
      </c>
      <c r="B28" s="64">
        <v>0</v>
      </c>
      <c r="C28" s="847"/>
      <c r="D28" s="65">
        <f t="shared" si="20"/>
        <v>0.95</v>
      </c>
      <c r="E28" s="66">
        <f t="shared" si="8"/>
        <v>0</v>
      </c>
      <c r="F28" s="66">
        <f t="shared" si="9"/>
        <v>0</v>
      </c>
      <c r="G28" s="66" t="e">
        <f t="shared" si="0"/>
        <v>#DIV/0!</v>
      </c>
      <c r="H28" s="67" t="e">
        <f t="shared" si="1"/>
        <v>#DIV/0!</v>
      </c>
      <c r="I28" s="68">
        <f t="shared" si="10"/>
        <v>0.04</v>
      </c>
      <c r="J28" s="69">
        <f t="shared" si="2"/>
        <v>0.49362812101131748</v>
      </c>
      <c r="K28" s="70" t="e">
        <f t="shared" si="3"/>
        <v>#DIV/0!</v>
      </c>
      <c r="L28" s="71" t="e">
        <f>SUM($K$12:K28)</f>
        <v>#DIV/0!</v>
      </c>
      <c r="M28" s="72" t="e">
        <f t="shared" si="11"/>
        <v>#DIV/0!</v>
      </c>
      <c r="N28" s="73" t="e">
        <f>IRR($H$11:H28,I28)</f>
        <v>#VALUE!</v>
      </c>
      <c r="O28" s="74" t="e">
        <f t="shared" si="12"/>
        <v>#DIV/0!</v>
      </c>
      <c r="P28" s="849"/>
      <c r="Q28" s="74" t="e">
        <f t="shared" si="19"/>
        <v>#DIV/0!</v>
      </c>
      <c r="R28" s="75" t="e">
        <f>NPV($M$10,$H$11:H28)</f>
        <v>#DIV/0!</v>
      </c>
      <c r="S28" s="76">
        <f t="shared" si="5"/>
        <v>18</v>
      </c>
      <c r="T28" s="77">
        <v>0</v>
      </c>
      <c r="U28" s="78" t="e">
        <f t="shared" si="6"/>
        <v>#DIV/0!</v>
      </c>
      <c r="V28" s="79">
        <f t="shared" si="13"/>
        <v>0.04</v>
      </c>
      <c r="W28" s="80">
        <f t="shared" si="14"/>
        <v>0.49362812101131748</v>
      </c>
      <c r="X28" s="70" t="e">
        <f t="shared" si="7"/>
        <v>#DIV/0!</v>
      </c>
      <c r="Y28" s="71" t="e">
        <f>SUM($X$12:X28)</f>
        <v>#DIV/0!</v>
      </c>
      <c r="Z28" s="72" t="e">
        <f t="shared" si="15"/>
        <v>#DIV/0!</v>
      </c>
      <c r="AA28" s="73" t="e">
        <f>IRR($U$11:U28,V28)</f>
        <v>#VALUE!</v>
      </c>
      <c r="AB28" s="74" t="e">
        <f t="shared" si="17"/>
        <v>#DIV/0!</v>
      </c>
      <c r="AC28" s="849"/>
      <c r="AD28" s="74" t="e">
        <f t="shared" si="18"/>
        <v>#DIV/0!</v>
      </c>
      <c r="AE28" s="75" t="e">
        <f>NPV(V28,$U$11:U28)</f>
        <v>#DIV/0!</v>
      </c>
    </row>
    <row r="29" spans="1:41" ht="19.5" hidden="1" customHeight="1" outlineLevel="1" thickTop="1" thickBot="1">
      <c r="A29" s="63">
        <f t="shared" si="16"/>
        <v>19</v>
      </c>
      <c r="B29" s="64">
        <v>0</v>
      </c>
      <c r="C29" s="847"/>
      <c r="D29" s="65">
        <f t="shared" si="20"/>
        <v>0.95</v>
      </c>
      <c r="E29" s="66">
        <f t="shared" si="8"/>
        <v>0</v>
      </c>
      <c r="F29" s="66">
        <f t="shared" si="9"/>
        <v>0</v>
      </c>
      <c r="G29" s="66" t="e">
        <f t="shared" si="0"/>
        <v>#DIV/0!</v>
      </c>
      <c r="H29" s="67" t="e">
        <f t="shared" si="1"/>
        <v>#DIV/0!</v>
      </c>
      <c r="I29" s="68">
        <f t="shared" si="10"/>
        <v>0.04</v>
      </c>
      <c r="J29" s="69">
        <f t="shared" si="2"/>
        <v>0.47464242404934376</v>
      </c>
      <c r="K29" s="70" t="e">
        <f t="shared" si="3"/>
        <v>#DIV/0!</v>
      </c>
      <c r="L29" s="71" t="e">
        <f>SUM($K$12:K29)</f>
        <v>#DIV/0!</v>
      </c>
      <c r="M29" s="72" t="e">
        <f t="shared" si="11"/>
        <v>#DIV/0!</v>
      </c>
      <c r="N29" s="73" t="e">
        <f>IRR($H$11:H29,I29)</f>
        <v>#VALUE!</v>
      </c>
      <c r="O29" s="74" t="e">
        <f t="shared" si="12"/>
        <v>#DIV/0!</v>
      </c>
      <c r="P29" s="849"/>
      <c r="Q29" s="74" t="e">
        <f t="shared" si="19"/>
        <v>#DIV/0!</v>
      </c>
      <c r="R29" s="75" t="e">
        <f>NPV($M$10,$H$11:H29)</f>
        <v>#DIV/0!</v>
      </c>
      <c r="S29" s="76">
        <f t="shared" si="5"/>
        <v>19</v>
      </c>
      <c r="T29" s="77">
        <v>0</v>
      </c>
      <c r="U29" s="78" t="e">
        <f t="shared" si="6"/>
        <v>#DIV/0!</v>
      </c>
      <c r="V29" s="79">
        <f t="shared" si="13"/>
        <v>0.04</v>
      </c>
      <c r="W29" s="80">
        <f t="shared" si="14"/>
        <v>0.47464242404934376</v>
      </c>
      <c r="X29" s="70" t="e">
        <f t="shared" si="7"/>
        <v>#DIV/0!</v>
      </c>
      <c r="Y29" s="71" t="e">
        <f>SUM($X$12:X29)</f>
        <v>#DIV/0!</v>
      </c>
      <c r="Z29" s="72" t="e">
        <f t="shared" si="15"/>
        <v>#DIV/0!</v>
      </c>
      <c r="AA29" s="73" t="e">
        <f>IRR($U$11:U29,V29)</f>
        <v>#VALUE!</v>
      </c>
      <c r="AB29" s="74" t="e">
        <f t="shared" si="17"/>
        <v>#DIV/0!</v>
      </c>
      <c r="AC29" s="849"/>
      <c r="AD29" s="74" t="e">
        <f t="shared" si="18"/>
        <v>#DIV/0!</v>
      </c>
      <c r="AE29" s="75" t="e">
        <f>NPV(V29,$U$11:U29)</f>
        <v>#DIV/0!</v>
      </c>
    </row>
    <row r="30" spans="1:41" ht="19.5" hidden="1" customHeight="1" outlineLevel="1" thickTop="1" thickBot="1">
      <c r="A30" s="63">
        <f t="shared" si="16"/>
        <v>20</v>
      </c>
      <c r="B30" s="64">
        <v>0</v>
      </c>
      <c r="C30" s="848"/>
      <c r="D30" s="65">
        <f t="shared" si="20"/>
        <v>0.95</v>
      </c>
      <c r="E30" s="66">
        <f t="shared" si="8"/>
        <v>0</v>
      </c>
      <c r="F30" s="66">
        <f t="shared" si="9"/>
        <v>0</v>
      </c>
      <c r="G30" s="66" t="e">
        <f t="shared" si="0"/>
        <v>#DIV/0!</v>
      </c>
      <c r="H30" s="67" t="e">
        <f t="shared" si="1"/>
        <v>#DIV/0!</v>
      </c>
      <c r="I30" s="68">
        <f t="shared" si="10"/>
        <v>0.04</v>
      </c>
      <c r="J30" s="69">
        <f t="shared" si="2"/>
        <v>0.45638694620129205</v>
      </c>
      <c r="K30" s="70" t="e">
        <f t="shared" si="3"/>
        <v>#DIV/0!</v>
      </c>
      <c r="L30" s="71" t="e">
        <f>SUM($K$12:K30)</f>
        <v>#DIV/0!</v>
      </c>
      <c r="M30" s="72" t="e">
        <f t="shared" si="11"/>
        <v>#DIV/0!</v>
      </c>
      <c r="N30" s="73" t="e">
        <f>IRR($H$11:H30,I30)</f>
        <v>#VALUE!</v>
      </c>
      <c r="O30" s="74" t="e">
        <f t="shared" si="12"/>
        <v>#DIV/0!</v>
      </c>
      <c r="P30" s="849"/>
      <c r="Q30" s="74" t="e">
        <f t="shared" si="19"/>
        <v>#DIV/0!</v>
      </c>
      <c r="R30" s="75" t="e">
        <f>NPV($M$10,$H$11:H30)</f>
        <v>#DIV/0!</v>
      </c>
      <c r="S30" s="76">
        <f t="shared" si="5"/>
        <v>20</v>
      </c>
      <c r="T30" s="77">
        <v>0</v>
      </c>
      <c r="U30" s="78" t="e">
        <f t="shared" si="6"/>
        <v>#DIV/0!</v>
      </c>
      <c r="V30" s="79">
        <f t="shared" si="13"/>
        <v>0.04</v>
      </c>
      <c r="W30" s="80">
        <f t="shared" si="14"/>
        <v>0.45638694620129205</v>
      </c>
      <c r="X30" s="70" t="e">
        <f t="shared" si="7"/>
        <v>#DIV/0!</v>
      </c>
      <c r="Y30" s="71" t="e">
        <f>SUM($X$12:X30)</f>
        <v>#DIV/0!</v>
      </c>
      <c r="Z30" s="72" t="e">
        <f t="shared" si="15"/>
        <v>#DIV/0!</v>
      </c>
      <c r="AA30" s="73" t="e">
        <f>IRR($U$11:U30,V30)</f>
        <v>#VALUE!</v>
      </c>
      <c r="AB30" s="74" t="e">
        <f t="shared" si="17"/>
        <v>#DIV/0!</v>
      </c>
      <c r="AC30" s="849"/>
      <c r="AD30" s="74" t="e">
        <f t="shared" si="18"/>
        <v>#DIV/0!</v>
      </c>
      <c r="AE30" s="75" t="e">
        <f>NPV(V30,$U$11:U30)</f>
        <v>#DIV/0!</v>
      </c>
    </row>
    <row r="31" spans="1:41" ht="19.5" customHeight="1" collapsed="1" thickTop="1">
      <c r="A31" s="76" t="s">
        <v>6</v>
      </c>
      <c r="B31" s="97">
        <f>SUM(B11:B30)</f>
        <v>31342884.889285713</v>
      </c>
      <c r="C31" s="97"/>
      <c r="D31" s="97"/>
      <c r="E31" s="97">
        <f>SUM(E11:E30)</f>
        <v>0</v>
      </c>
      <c r="F31" s="97">
        <f>SUM(F11:F30)</f>
        <v>0</v>
      </c>
      <c r="G31" s="97" t="e">
        <f>SUM(G11:G30)</f>
        <v>#DIV/0!</v>
      </c>
      <c r="H31" s="76" t="e">
        <f>SUM(H11:H30)</f>
        <v>#DIV/0!</v>
      </c>
      <c r="I31" s="97"/>
      <c r="J31" s="76"/>
      <c r="K31" s="76" t="e">
        <f>SUM(K11:K30)</f>
        <v>#DIV/0!</v>
      </c>
      <c r="L31" s="76"/>
      <c r="M31" s="76" t="e">
        <f>M20</f>
        <v>#DIV/0!</v>
      </c>
      <c r="N31" s="76" t="e">
        <f>N20</f>
        <v>#VALUE!</v>
      </c>
      <c r="O31" s="98" t="e">
        <f>O20</f>
        <v>#DIV/0!</v>
      </c>
      <c r="P31" s="76" t="e">
        <f>P11*12</f>
        <v>#DIV/0!</v>
      </c>
      <c r="Q31" s="74"/>
      <c r="S31" s="76"/>
      <c r="T31" s="97">
        <f>SUM(T11:T30)</f>
        <v>31342884.889285713</v>
      </c>
      <c r="U31" s="99"/>
      <c r="V31" s="79"/>
      <c r="W31" s="80"/>
      <c r="X31" s="70"/>
      <c r="Y31" s="71"/>
      <c r="Z31" s="72"/>
      <c r="AA31" s="73"/>
      <c r="AB31" s="74"/>
      <c r="AC31" s="100" t="e">
        <f>AC11</f>
        <v>#DIV/0!</v>
      </c>
      <c r="AD31" s="74">
        <f>IF(AB31&gt;1,(#REF!-1)+(-$X$11-Y30)/(Y31-Y30),0)</f>
        <v>0</v>
      </c>
      <c r="AE31" s="75" t="e">
        <f>NPV(V31,$U$11:U31)</f>
        <v>#DIV/0!</v>
      </c>
    </row>
    <row r="32" spans="1:41" customFormat="1" ht="21.75" customHeight="1">
      <c r="A32" s="31"/>
      <c r="B32" s="31"/>
      <c r="C32" s="31"/>
      <c r="D32" s="31"/>
      <c r="E32" s="32"/>
      <c r="F32" s="32"/>
      <c r="G32" s="32"/>
      <c r="H32" s="32"/>
      <c r="I32" s="32"/>
      <c r="J32" s="32"/>
      <c r="K32" s="32"/>
      <c r="L32" s="33"/>
      <c r="M32" s="32"/>
      <c r="N32" s="32"/>
      <c r="O32" s="32"/>
      <c r="P32" s="32"/>
      <c r="Q32" s="32"/>
      <c r="R32" s="32"/>
      <c r="S32" s="32"/>
      <c r="T32" s="32"/>
      <c r="U32" s="32"/>
      <c r="V32" s="32"/>
      <c r="W32" s="32"/>
      <c r="X32" s="32"/>
      <c r="Y32" s="32"/>
      <c r="Z32" s="32"/>
      <c r="AA32" s="32"/>
      <c r="AG32" s="32"/>
      <c r="AH32" s="32"/>
      <c r="AI32" s="32"/>
      <c r="AJ32" s="32"/>
      <c r="AK32" s="32"/>
      <c r="AL32" s="32"/>
      <c r="AM32" s="32"/>
      <c r="AN32" s="32"/>
      <c r="AO32" s="32"/>
    </row>
    <row r="33" spans="1:41" customFormat="1" ht="27">
      <c r="A33" s="31"/>
      <c r="B33" s="31"/>
      <c r="C33" s="31"/>
      <c r="D33" s="31"/>
      <c r="E33" s="32"/>
      <c r="F33" s="32"/>
      <c r="G33" s="32"/>
      <c r="H33" s="32"/>
      <c r="I33" s="32"/>
      <c r="J33" s="32"/>
      <c r="K33" s="32"/>
      <c r="L33" s="33"/>
      <c r="M33" s="32"/>
      <c r="N33" s="32"/>
      <c r="O33" s="32"/>
      <c r="P33" s="32"/>
      <c r="Q33" s="32"/>
      <c r="R33" s="32"/>
      <c r="S33" s="32"/>
      <c r="T33" s="32"/>
      <c r="U33" s="53"/>
      <c r="V33" s="32"/>
      <c r="W33" s="32"/>
      <c r="X33" s="32"/>
      <c r="Y33" s="32"/>
      <c r="Z33" s="32"/>
      <c r="AA33" s="32"/>
      <c r="AG33" s="32"/>
      <c r="AH33" s="32"/>
      <c r="AI33" s="32"/>
      <c r="AJ33" s="32"/>
      <c r="AK33" s="32"/>
      <c r="AL33" s="32"/>
      <c r="AM33" s="32"/>
      <c r="AN33" s="32"/>
      <c r="AO33" s="32"/>
    </row>
    <row r="34" spans="1:41" customFormat="1" hidden="1" outlineLevel="1">
      <c r="A34" s="31"/>
      <c r="B34" s="101" t="s">
        <v>127</v>
      </c>
      <c r="C34" s="31"/>
      <c r="D34" s="31"/>
      <c r="E34" s="32"/>
      <c r="F34" s="32"/>
      <c r="G34" s="32"/>
      <c r="H34" s="32"/>
      <c r="I34" s="32"/>
      <c r="J34" s="32"/>
      <c r="K34" s="32"/>
      <c r="L34" s="33"/>
      <c r="M34" s="32"/>
      <c r="N34" s="32"/>
      <c r="O34" s="32"/>
      <c r="P34" s="32"/>
      <c r="Q34" s="32"/>
      <c r="R34" s="32"/>
      <c r="S34" s="32"/>
      <c r="T34" s="32"/>
      <c r="U34" s="32"/>
      <c r="V34" s="32"/>
      <c r="W34" s="32"/>
      <c r="X34" s="32"/>
      <c r="Y34" s="32"/>
      <c r="Z34" s="32"/>
      <c r="AA34" s="32"/>
      <c r="AG34" s="32"/>
      <c r="AH34" s="32"/>
      <c r="AI34" s="32"/>
      <c r="AJ34" s="32"/>
      <c r="AK34" s="32"/>
      <c r="AL34" s="32"/>
      <c r="AM34" s="32"/>
      <c r="AN34" s="32"/>
      <c r="AO34" s="32"/>
    </row>
    <row r="35" spans="1:41" customFormat="1" hidden="1" outlineLevel="1">
      <c r="A35" s="31"/>
      <c r="B35" s="101"/>
      <c r="C35" s="31"/>
      <c r="D35" s="31"/>
      <c r="E35" s="32"/>
      <c r="F35" s="32"/>
      <c r="G35" s="32"/>
      <c r="H35" s="32"/>
      <c r="I35" s="32"/>
      <c r="J35" s="32"/>
      <c r="K35" s="32"/>
      <c r="L35" s="33"/>
      <c r="M35" s="32"/>
      <c r="N35" s="32"/>
      <c r="O35" s="32"/>
      <c r="P35" s="32"/>
      <c r="Q35" s="32"/>
      <c r="R35" s="32"/>
      <c r="S35" s="32"/>
      <c r="T35" s="32"/>
      <c r="U35" s="32"/>
      <c r="V35" s="32"/>
      <c r="W35" s="32"/>
      <c r="X35" s="32"/>
      <c r="Y35" s="32"/>
      <c r="Z35" s="32"/>
      <c r="AA35" s="32"/>
      <c r="AG35" s="32"/>
      <c r="AH35" s="32"/>
      <c r="AI35" s="32"/>
      <c r="AJ35" s="32"/>
      <c r="AK35" s="32"/>
      <c r="AL35" s="32"/>
      <c r="AM35" s="32"/>
      <c r="AN35" s="32"/>
      <c r="AO35" s="32"/>
    </row>
    <row r="36" spans="1:41" customFormat="1" collapsed="1">
      <c r="A36" s="31"/>
      <c r="B36" s="102" t="s">
        <v>128</v>
      </c>
      <c r="C36" s="31"/>
      <c r="D36" s="31"/>
      <c r="E36" s="32"/>
      <c r="F36" s="32"/>
      <c r="G36" s="32"/>
      <c r="H36" s="32"/>
      <c r="I36" s="32"/>
      <c r="J36" s="32"/>
      <c r="K36" s="32"/>
      <c r="L36" s="33"/>
      <c r="M36" s="32"/>
      <c r="N36" s="32"/>
      <c r="O36" s="32"/>
      <c r="P36" s="32"/>
      <c r="Q36" s="32"/>
      <c r="R36" s="32"/>
      <c r="S36" s="32"/>
      <c r="T36" s="32"/>
      <c r="U36" s="32"/>
      <c r="V36" s="32"/>
      <c r="W36" s="32"/>
      <c r="X36" s="32"/>
      <c r="Y36" s="32"/>
      <c r="Z36" s="32"/>
      <c r="AA36" s="32"/>
      <c r="AG36" s="32"/>
      <c r="AH36" s="32"/>
      <c r="AI36" s="32"/>
      <c r="AJ36" s="32"/>
      <c r="AK36" s="32"/>
      <c r="AL36" s="32"/>
      <c r="AM36" s="32"/>
      <c r="AN36" s="32"/>
      <c r="AO36" s="32"/>
    </row>
    <row r="37" spans="1:41" customFormat="1">
      <c r="A37" s="31"/>
      <c r="B37" s="31"/>
      <c r="C37" s="31"/>
      <c r="D37" s="31"/>
      <c r="E37" s="32"/>
      <c r="F37" s="32"/>
      <c r="G37" s="32"/>
      <c r="H37" s="32"/>
      <c r="I37" s="32"/>
      <c r="J37" s="32"/>
      <c r="K37" s="32"/>
      <c r="L37" s="33"/>
      <c r="M37" s="32"/>
      <c r="N37" s="32"/>
      <c r="O37" s="32"/>
      <c r="P37" s="32"/>
      <c r="Q37" s="32"/>
      <c r="R37" s="32"/>
      <c r="S37" s="32"/>
      <c r="T37" s="32"/>
      <c r="U37" s="32"/>
      <c r="V37" s="32"/>
      <c r="W37" s="32"/>
      <c r="X37" s="32"/>
      <c r="Y37" s="32"/>
      <c r="Z37" s="32"/>
      <c r="AA37" s="32"/>
      <c r="AG37" s="32"/>
      <c r="AH37" s="32"/>
      <c r="AI37" s="32"/>
      <c r="AJ37" s="32"/>
      <c r="AK37" s="32"/>
      <c r="AL37" s="32"/>
      <c r="AM37" s="32"/>
      <c r="AN37" s="32"/>
      <c r="AO37" s="32"/>
    </row>
    <row r="38" spans="1:41" s="108" customFormat="1" ht="30.75" customHeight="1">
      <c r="A38" s="31">
        <v>0</v>
      </c>
      <c r="B38" s="103" t="str">
        <f>C8</f>
        <v>Yearly revenue if 100% activity</v>
      </c>
      <c r="C38" s="104"/>
      <c r="D38" s="104"/>
      <c r="E38" s="104" t="s">
        <v>126</v>
      </c>
      <c r="F38" s="105">
        <v>0</v>
      </c>
      <c r="G38" s="106"/>
      <c r="H38" s="107">
        <v>1</v>
      </c>
      <c r="L38" s="31"/>
    </row>
    <row r="39" spans="1:41" s="108" customFormat="1" ht="38.25" hidden="1" outlineLevel="1">
      <c r="A39" s="54" t="s">
        <v>13</v>
      </c>
      <c r="B39" s="54" t="s">
        <v>3</v>
      </c>
      <c r="C39" s="54" t="s">
        <v>129</v>
      </c>
      <c r="D39" s="54" t="s">
        <v>130</v>
      </c>
      <c r="E39" s="54" t="s">
        <v>131</v>
      </c>
      <c r="F39" s="54" t="s">
        <v>132</v>
      </c>
      <c r="G39" s="54"/>
      <c r="H39" s="54"/>
      <c r="L39" s="31"/>
    </row>
    <row r="40" spans="1:41" s="108" customFormat="1" hidden="1" outlineLevel="1">
      <c r="A40" s="54">
        <v>1</v>
      </c>
      <c r="B40" s="109" t="s">
        <v>459</v>
      </c>
      <c r="C40" s="110" t="s">
        <v>133</v>
      </c>
      <c r="D40" s="111">
        <v>0</v>
      </c>
      <c r="E40" s="112">
        <v>0.51666666666666672</v>
      </c>
      <c r="F40" s="113">
        <f>D40*E40</f>
        <v>0</v>
      </c>
      <c r="G40" s="54"/>
      <c r="H40" s="54"/>
      <c r="L40" s="31"/>
      <c r="O40" s="114"/>
      <c r="P40" s="114"/>
    </row>
    <row r="41" spans="1:41" s="108" customFormat="1" hidden="1" outlineLevel="1">
      <c r="A41" s="54">
        <v>2</v>
      </c>
      <c r="B41" s="110">
        <v>0</v>
      </c>
      <c r="C41" s="110" t="s">
        <v>133</v>
      </c>
      <c r="D41" s="111">
        <v>0</v>
      </c>
      <c r="E41" s="112">
        <v>0</v>
      </c>
      <c r="F41" s="113">
        <f>D41*E41</f>
        <v>0</v>
      </c>
      <c r="G41" s="54"/>
      <c r="H41" s="54"/>
      <c r="L41" s="31"/>
      <c r="O41" s="114"/>
      <c r="P41" s="114"/>
    </row>
    <row r="42" spans="1:41" s="108" customFormat="1" ht="30.75" hidden="1" customHeight="1" outlineLevel="1">
      <c r="A42" s="54">
        <v>3</v>
      </c>
      <c r="B42" s="110"/>
      <c r="C42" s="110"/>
      <c r="D42" s="111"/>
      <c r="E42" s="110"/>
      <c r="F42" s="113"/>
      <c r="G42" s="54"/>
      <c r="H42" s="54"/>
      <c r="L42" s="31"/>
      <c r="N42" s="115"/>
      <c r="O42" s="114"/>
      <c r="P42" s="114"/>
    </row>
    <row r="43" spans="1:41" s="108" customFormat="1" hidden="1" outlineLevel="1">
      <c r="A43" s="54"/>
      <c r="B43" s="54" t="s">
        <v>6</v>
      </c>
      <c r="C43" s="54"/>
      <c r="D43" s="116">
        <f>SUM(D40:D42)</f>
        <v>0</v>
      </c>
      <c r="E43" s="54"/>
      <c r="F43" s="116">
        <f>SUM(F40:F42)</f>
        <v>0</v>
      </c>
      <c r="G43" s="54"/>
      <c r="H43" s="116"/>
      <c r="L43" s="31"/>
      <c r="O43" s="114"/>
      <c r="P43" s="114"/>
    </row>
    <row r="44" spans="1:41" s="108" customFormat="1" ht="15" customHeight="1" collapsed="1">
      <c r="A44" s="31">
        <v>1</v>
      </c>
      <c r="B44" s="103" t="s">
        <v>134</v>
      </c>
      <c r="C44" s="104"/>
      <c r="D44" s="104"/>
      <c r="E44" s="104" t="s">
        <v>126</v>
      </c>
      <c r="F44" s="105">
        <v>844251.42857142864</v>
      </c>
      <c r="G44" s="117"/>
      <c r="H44" s="118" t="e">
        <f>F44/$F$38</f>
        <v>#DIV/0!</v>
      </c>
      <c r="L44" s="31"/>
      <c r="O44" s="114"/>
      <c r="P44" s="114"/>
    </row>
    <row r="45" spans="1:41" ht="25.5" outlineLevel="1">
      <c r="A45" s="54" t="s">
        <v>13</v>
      </c>
      <c r="B45" s="54" t="s">
        <v>135</v>
      </c>
      <c r="C45" s="54" t="s">
        <v>129</v>
      </c>
      <c r="D45" s="54" t="s">
        <v>136</v>
      </c>
      <c r="E45" s="54" t="s">
        <v>131</v>
      </c>
      <c r="F45" s="54" t="s">
        <v>137</v>
      </c>
      <c r="G45" s="54"/>
      <c r="H45" s="54"/>
    </row>
    <row r="46" spans="1:41" outlineLevel="1">
      <c r="A46" s="54"/>
      <c r="B46" s="103" t="str">
        <f>B40</f>
        <v>Плащевая ткань</v>
      </c>
      <c r="C46" s="54"/>
      <c r="D46" s="54"/>
      <c r="E46" s="54"/>
      <c r="F46" s="54"/>
      <c r="G46" s="54"/>
      <c r="H46" s="54"/>
    </row>
    <row r="47" spans="1:41" outlineLevel="1">
      <c r="A47" s="54">
        <v>1</v>
      </c>
      <c r="B47" s="119">
        <v>0</v>
      </c>
      <c r="C47" s="119" t="s">
        <v>138</v>
      </c>
      <c r="D47" s="120">
        <v>60800</v>
      </c>
      <c r="E47" s="121">
        <v>3.1428571428571428</v>
      </c>
      <c r="F47" s="113">
        <f>D47*E47</f>
        <v>191085.71428571429</v>
      </c>
      <c r="G47" s="54"/>
      <c r="H47" s="54"/>
    </row>
    <row r="48" spans="1:41" ht="25.5" outlineLevel="1">
      <c r="A48" s="54">
        <f>A47+1</f>
        <v>2</v>
      </c>
      <c r="B48" s="119" t="s">
        <v>139</v>
      </c>
      <c r="C48" s="119"/>
      <c r="D48" s="120"/>
      <c r="E48" s="121"/>
      <c r="F48" s="113">
        <f>F47*0.2</f>
        <v>38217.142857142862</v>
      </c>
      <c r="G48" s="54"/>
      <c r="H48" s="54"/>
    </row>
    <row r="49" spans="1:8" outlineLevel="1">
      <c r="A49" s="54">
        <f t="shared" ref="A49:A56" si="21">A48+1</f>
        <v>3</v>
      </c>
      <c r="B49" s="119" t="s">
        <v>140</v>
      </c>
      <c r="C49" s="119"/>
      <c r="D49" s="120"/>
      <c r="E49" s="121"/>
      <c r="F49" s="113">
        <f>F47*0.15</f>
        <v>28662.857142857141</v>
      </c>
      <c r="G49" s="54"/>
      <c r="H49" s="54"/>
    </row>
    <row r="50" spans="1:8" outlineLevel="1">
      <c r="A50" s="54">
        <f t="shared" si="21"/>
        <v>4</v>
      </c>
      <c r="B50" s="119"/>
      <c r="C50" s="119"/>
      <c r="D50" s="120"/>
      <c r="E50" s="121"/>
      <c r="F50" s="113">
        <f t="shared" ref="F50:F56" si="22">D50*E50</f>
        <v>0</v>
      </c>
      <c r="G50" s="54"/>
      <c r="H50" s="54"/>
    </row>
    <row r="51" spans="1:8" outlineLevel="1">
      <c r="A51" s="54">
        <f t="shared" si="21"/>
        <v>5</v>
      </c>
      <c r="B51" s="119"/>
      <c r="C51" s="119"/>
      <c r="D51" s="120"/>
      <c r="E51" s="119"/>
      <c r="F51" s="113">
        <f t="shared" si="22"/>
        <v>0</v>
      </c>
      <c r="G51" s="54"/>
      <c r="H51" s="54"/>
    </row>
    <row r="52" spans="1:8" outlineLevel="1">
      <c r="A52" s="54">
        <f t="shared" si="21"/>
        <v>6</v>
      </c>
      <c r="B52" s="119"/>
      <c r="C52" s="119"/>
      <c r="D52" s="120"/>
      <c r="E52" s="119"/>
      <c r="F52" s="113">
        <f t="shared" si="22"/>
        <v>0</v>
      </c>
      <c r="G52" s="54"/>
      <c r="H52" s="54"/>
    </row>
    <row r="53" spans="1:8" outlineLevel="1">
      <c r="A53" s="54">
        <f t="shared" si="21"/>
        <v>7</v>
      </c>
      <c r="B53" s="119"/>
      <c r="C53" s="119"/>
      <c r="D53" s="120"/>
      <c r="E53" s="122"/>
      <c r="F53" s="113">
        <f t="shared" si="22"/>
        <v>0</v>
      </c>
      <c r="G53" s="54"/>
      <c r="H53" s="54"/>
    </row>
    <row r="54" spans="1:8" outlineLevel="1">
      <c r="A54" s="54">
        <f t="shared" si="21"/>
        <v>8</v>
      </c>
      <c r="B54" s="119"/>
      <c r="C54" s="119"/>
      <c r="D54" s="120"/>
      <c r="E54" s="119"/>
      <c r="F54" s="113">
        <f t="shared" si="22"/>
        <v>0</v>
      </c>
      <c r="G54" s="54"/>
      <c r="H54" s="54"/>
    </row>
    <row r="55" spans="1:8" outlineLevel="1">
      <c r="A55" s="54">
        <f t="shared" si="21"/>
        <v>9</v>
      </c>
      <c r="B55" s="119"/>
      <c r="C55" s="119"/>
      <c r="D55" s="120"/>
      <c r="E55" s="119"/>
      <c r="F55" s="113">
        <f t="shared" si="22"/>
        <v>0</v>
      </c>
      <c r="G55" s="54"/>
      <c r="H55" s="54"/>
    </row>
    <row r="56" spans="1:8" outlineLevel="1">
      <c r="A56" s="54">
        <f t="shared" si="21"/>
        <v>10</v>
      </c>
      <c r="B56" s="119"/>
      <c r="C56" s="119"/>
      <c r="D56" s="120"/>
      <c r="E56" s="119"/>
      <c r="F56" s="113">
        <f t="shared" si="22"/>
        <v>0</v>
      </c>
      <c r="G56" s="54"/>
      <c r="H56" s="54"/>
    </row>
    <row r="57" spans="1:8" outlineLevel="1">
      <c r="A57" s="54"/>
      <c r="B57" s="54" t="s">
        <v>6</v>
      </c>
      <c r="C57" s="54"/>
      <c r="D57" s="116">
        <f>SUM(D47:D56)</f>
        <v>60800</v>
      </c>
      <c r="E57" s="54"/>
      <c r="F57" s="116">
        <f>SUM(F47:F56)</f>
        <v>257965.71428571429</v>
      </c>
      <c r="G57" s="54"/>
      <c r="H57" s="116"/>
    </row>
    <row r="58" spans="1:8" outlineLevel="1">
      <c r="B58" s="103">
        <f>B41</f>
        <v>0</v>
      </c>
      <c r="E58" s="33"/>
    </row>
    <row r="59" spans="1:8" outlineLevel="1">
      <c r="A59" s="54">
        <v>1</v>
      </c>
      <c r="B59" s="119">
        <f>B47</f>
        <v>0</v>
      </c>
      <c r="C59" s="119" t="s">
        <v>141</v>
      </c>
      <c r="D59" s="120">
        <f>1000*304</f>
        <v>304000</v>
      </c>
      <c r="E59" s="122">
        <v>1.4285714285714286</v>
      </c>
      <c r="F59" s="113">
        <f>D59*E59</f>
        <v>434285.71428571432</v>
      </c>
      <c r="G59" s="54"/>
      <c r="H59" s="54"/>
    </row>
    <row r="60" spans="1:8" ht="25.5" outlineLevel="1">
      <c r="A60" s="54">
        <f>A59+1</f>
        <v>2</v>
      </c>
      <c r="B60" s="119" t="str">
        <f>B48</f>
        <v>Химикаты для дубления</v>
      </c>
      <c r="C60" s="119"/>
      <c r="D60" s="120"/>
      <c r="E60" s="122">
        <f>E48</f>
        <v>0</v>
      </c>
      <c r="F60" s="113">
        <f>F59*0.2</f>
        <v>86857.14285714287</v>
      </c>
      <c r="G60" s="54"/>
      <c r="H60" s="54"/>
    </row>
    <row r="61" spans="1:8" outlineLevel="1">
      <c r="A61" s="54">
        <f t="shared" ref="A61:A68" si="23">A60+1</f>
        <v>3</v>
      </c>
      <c r="B61" s="119" t="str">
        <f>B49</f>
        <v>Химикаты для покраски</v>
      </c>
      <c r="C61" s="119"/>
      <c r="D61" s="120"/>
      <c r="E61" s="122">
        <f>E49</f>
        <v>0</v>
      </c>
      <c r="F61" s="113">
        <f>F59*0.15</f>
        <v>65142.857142857145</v>
      </c>
      <c r="G61" s="54"/>
      <c r="H61" s="54"/>
    </row>
    <row r="62" spans="1:8" outlineLevel="1">
      <c r="A62" s="54">
        <f t="shared" si="23"/>
        <v>4</v>
      </c>
      <c r="B62" s="119"/>
      <c r="C62" s="119"/>
      <c r="D62" s="120"/>
      <c r="E62" s="122"/>
      <c r="F62" s="113">
        <f t="shared" ref="F62:F68" si="24">D62*E62</f>
        <v>0</v>
      </c>
      <c r="G62" s="54"/>
      <c r="H62" s="54"/>
    </row>
    <row r="63" spans="1:8" outlineLevel="1">
      <c r="A63" s="54">
        <f t="shared" si="23"/>
        <v>5</v>
      </c>
      <c r="B63" s="119"/>
      <c r="C63" s="119"/>
      <c r="D63" s="120"/>
      <c r="E63" s="122"/>
      <c r="F63" s="113">
        <f t="shared" si="24"/>
        <v>0</v>
      </c>
      <c r="G63" s="54"/>
      <c r="H63" s="54"/>
    </row>
    <row r="64" spans="1:8" outlineLevel="1">
      <c r="A64" s="54">
        <f t="shared" si="23"/>
        <v>6</v>
      </c>
      <c r="B64" s="119"/>
      <c r="C64" s="119"/>
      <c r="D64" s="120"/>
      <c r="E64" s="122"/>
      <c r="F64" s="113">
        <f t="shared" si="24"/>
        <v>0</v>
      </c>
      <c r="G64" s="54"/>
      <c r="H64" s="54"/>
    </row>
    <row r="65" spans="1:11" outlineLevel="1">
      <c r="A65" s="54">
        <f t="shared" si="23"/>
        <v>7</v>
      </c>
      <c r="B65" s="119"/>
      <c r="C65" s="119"/>
      <c r="D65" s="120"/>
      <c r="E65" s="122"/>
      <c r="F65" s="113">
        <f t="shared" si="24"/>
        <v>0</v>
      </c>
      <c r="G65" s="54"/>
      <c r="H65" s="54"/>
    </row>
    <row r="66" spans="1:11" outlineLevel="1">
      <c r="A66" s="54">
        <f t="shared" si="23"/>
        <v>8</v>
      </c>
      <c r="B66" s="119"/>
      <c r="C66" s="119"/>
      <c r="D66" s="120"/>
      <c r="E66" s="119"/>
      <c r="F66" s="113">
        <f t="shared" si="24"/>
        <v>0</v>
      </c>
      <c r="G66" s="54"/>
      <c r="H66" s="54"/>
    </row>
    <row r="67" spans="1:11" outlineLevel="1">
      <c r="A67" s="54">
        <f t="shared" si="23"/>
        <v>9</v>
      </c>
      <c r="B67" s="119"/>
      <c r="C67" s="119"/>
      <c r="D67" s="120"/>
      <c r="E67" s="119"/>
      <c r="F67" s="113">
        <f t="shared" si="24"/>
        <v>0</v>
      </c>
      <c r="G67" s="54"/>
      <c r="H67" s="54"/>
    </row>
    <row r="68" spans="1:11" outlineLevel="1">
      <c r="A68" s="54">
        <f t="shared" si="23"/>
        <v>10</v>
      </c>
      <c r="B68" s="119"/>
      <c r="C68" s="119"/>
      <c r="D68" s="120"/>
      <c r="E68" s="119"/>
      <c r="F68" s="113">
        <f t="shared" si="24"/>
        <v>0</v>
      </c>
      <c r="G68" s="54"/>
      <c r="H68" s="54"/>
    </row>
    <row r="69" spans="1:11" outlineLevel="1">
      <c r="A69" s="54"/>
      <c r="B69" s="54" t="s">
        <v>6</v>
      </c>
      <c r="C69" s="54"/>
      <c r="D69" s="116">
        <f>SUM(D59:D68)</f>
        <v>304000</v>
      </c>
      <c r="E69" s="54"/>
      <c r="F69" s="116">
        <f>SUM(F59:F68)</f>
        <v>586285.71428571432</v>
      </c>
      <c r="G69" s="54"/>
      <c r="H69" s="116"/>
    </row>
    <row r="70" spans="1:11" outlineLevel="1">
      <c r="B70" s="31">
        <f>B42</f>
        <v>0</v>
      </c>
      <c r="E70" s="33"/>
    </row>
    <row r="71" spans="1:11" outlineLevel="1">
      <c r="A71" s="54">
        <v>1</v>
      </c>
      <c r="B71" s="119">
        <f>B59</f>
        <v>0</v>
      </c>
      <c r="C71" s="119" t="s">
        <v>142</v>
      </c>
      <c r="D71" s="120">
        <f>O42</f>
        <v>0</v>
      </c>
      <c r="E71" s="122">
        <f>E47</f>
        <v>3.1428571428571428</v>
      </c>
      <c r="F71" s="113">
        <f>D71*E71</f>
        <v>0</v>
      </c>
      <c r="G71" s="54"/>
      <c r="H71" s="54"/>
    </row>
    <row r="72" spans="1:11" ht="25.5" outlineLevel="1">
      <c r="A72" s="54">
        <f>A71+1</f>
        <v>2</v>
      </c>
      <c r="B72" s="119" t="str">
        <f>B60</f>
        <v>Химикаты для дубления</v>
      </c>
      <c r="C72" s="119"/>
      <c r="D72" s="120"/>
      <c r="E72" s="119"/>
      <c r="F72" s="113">
        <f t="shared" ref="F72:F80" si="25">D72*E72</f>
        <v>0</v>
      </c>
      <c r="G72" s="54"/>
      <c r="H72" s="54"/>
    </row>
    <row r="73" spans="1:11" outlineLevel="1">
      <c r="A73" s="54">
        <f t="shared" ref="A73:A80" si="26">A72+1</f>
        <v>3</v>
      </c>
      <c r="B73" s="119" t="str">
        <f>B61</f>
        <v>Химикаты для покраски</v>
      </c>
      <c r="C73" s="119"/>
      <c r="D73" s="120"/>
      <c r="E73" s="119"/>
      <c r="F73" s="113">
        <f t="shared" si="25"/>
        <v>0</v>
      </c>
      <c r="G73" s="54"/>
      <c r="H73" s="54"/>
    </row>
    <row r="74" spans="1:11" outlineLevel="1">
      <c r="A74" s="54">
        <f t="shared" si="26"/>
        <v>4</v>
      </c>
      <c r="B74" s="119">
        <f>B62</f>
        <v>0</v>
      </c>
      <c r="C74" s="119"/>
      <c r="D74" s="120"/>
      <c r="E74" s="119"/>
      <c r="F74" s="113">
        <f t="shared" si="25"/>
        <v>0</v>
      </c>
      <c r="G74" s="54"/>
      <c r="H74" s="54"/>
    </row>
    <row r="75" spans="1:11" outlineLevel="1">
      <c r="A75" s="54">
        <f t="shared" si="26"/>
        <v>5</v>
      </c>
      <c r="B75" s="119"/>
      <c r="C75" s="119"/>
      <c r="D75" s="120"/>
      <c r="E75" s="122"/>
      <c r="F75" s="113">
        <f t="shared" si="25"/>
        <v>0</v>
      </c>
      <c r="G75" s="54"/>
      <c r="H75" s="54"/>
    </row>
    <row r="76" spans="1:11" outlineLevel="1">
      <c r="A76" s="54">
        <f t="shared" si="26"/>
        <v>6</v>
      </c>
      <c r="B76" s="119"/>
      <c r="C76" s="119"/>
      <c r="D76" s="120"/>
      <c r="E76" s="119"/>
      <c r="F76" s="113">
        <f t="shared" si="25"/>
        <v>0</v>
      </c>
      <c r="G76" s="54"/>
      <c r="H76" s="54"/>
      <c r="K76" s="32" t="s">
        <v>143</v>
      </c>
    </row>
    <row r="77" spans="1:11" outlineLevel="1">
      <c r="A77" s="54">
        <f t="shared" si="26"/>
        <v>7</v>
      </c>
      <c r="B77" s="119"/>
      <c r="C77" s="119"/>
      <c r="D77" s="120"/>
      <c r="E77" s="122"/>
      <c r="F77" s="113">
        <f t="shared" si="25"/>
        <v>0</v>
      </c>
      <c r="G77" s="54"/>
      <c r="H77" s="54"/>
      <c r="K77" s="123">
        <f>(F57+F69+F82+F90+F97+F106+F107+F108+F109)/12*6</f>
        <v>1087134.8892857144</v>
      </c>
    </row>
    <row r="78" spans="1:11" outlineLevel="1">
      <c r="A78" s="54">
        <f t="shared" si="26"/>
        <v>8</v>
      </c>
      <c r="B78" s="119"/>
      <c r="C78" s="119"/>
      <c r="D78" s="120"/>
      <c r="E78" s="119"/>
      <c r="F78" s="113">
        <f t="shared" si="25"/>
        <v>0</v>
      </c>
      <c r="G78" s="54"/>
      <c r="H78" s="54"/>
    </row>
    <row r="79" spans="1:11" outlineLevel="1">
      <c r="A79" s="54">
        <f t="shared" si="26"/>
        <v>9</v>
      </c>
      <c r="B79" s="119"/>
      <c r="C79" s="119"/>
      <c r="D79" s="120"/>
      <c r="E79" s="119"/>
      <c r="F79" s="113">
        <f t="shared" si="25"/>
        <v>0</v>
      </c>
      <c r="G79" s="54"/>
      <c r="H79" s="54"/>
    </row>
    <row r="80" spans="1:11" outlineLevel="1">
      <c r="A80" s="54">
        <f t="shared" si="26"/>
        <v>10</v>
      </c>
      <c r="B80" s="119"/>
      <c r="C80" s="119"/>
      <c r="D80" s="120"/>
      <c r="E80" s="119"/>
      <c r="F80" s="113">
        <f t="shared" si="25"/>
        <v>0</v>
      </c>
      <c r="G80" s="54"/>
      <c r="H80" s="54"/>
    </row>
    <row r="81" spans="1:41" outlineLevel="1">
      <c r="A81" s="54"/>
      <c r="B81" s="54" t="s">
        <v>6</v>
      </c>
      <c r="C81" s="54"/>
      <c r="D81" s="116">
        <f>SUM(D71:D80)</f>
        <v>0</v>
      </c>
      <c r="E81" s="54"/>
      <c r="F81" s="116">
        <f>SUM(F71:F80)</f>
        <v>0</v>
      </c>
      <c r="G81" s="54"/>
      <c r="H81" s="116"/>
    </row>
    <row r="82" spans="1:41" customFormat="1" ht="16.5" customHeight="1">
      <c r="A82" s="31">
        <v>2</v>
      </c>
      <c r="B82" s="103" t="s">
        <v>144</v>
      </c>
      <c r="C82" s="104"/>
      <c r="D82" s="104"/>
      <c r="E82" s="82" t="str">
        <f>E38</f>
        <v>$</v>
      </c>
      <c r="F82" s="124">
        <v>0</v>
      </c>
      <c r="G82" s="55"/>
      <c r="H82" s="118" t="e">
        <f>F82/$F$38</f>
        <v>#DIV/0!</v>
      </c>
      <c r="I82" s="32"/>
      <c r="J82" s="32"/>
      <c r="K82" s="32"/>
      <c r="L82" s="33"/>
      <c r="M82" s="32"/>
      <c r="N82" s="32"/>
      <c r="O82" s="32"/>
      <c r="P82" s="32"/>
      <c r="Q82" s="32"/>
      <c r="R82" s="32"/>
      <c r="S82" s="32"/>
      <c r="T82" s="32"/>
      <c r="U82" s="32"/>
      <c r="V82" s="32"/>
      <c r="W82" s="32"/>
      <c r="X82" s="32"/>
      <c r="Y82" s="32"/>
      <c r="Z82" s="32"/>
      <c r="AA82" s="32"/>
      <c r="AG82" s="32"/>
      <c r="AH82" s="32"/>
      <c r="AI82" s="32"/>
      <c r="AJ82" s="32"/>
      <c r="AK82" s="32"/>
      <c r="AL82" s="32"/>
      <c r="AM82" s="32"/>
      <c r="AN82" s="32"/>
      <c r="AO82" s="32"/>
    </row>
    <row r="83" spans="1:41" ht="25.5" hidden="1" outlineLevel="1">
      <c r="A83" s="54" t="s">
        <v>13</v>
      </c>
      <c r="B83" s="54" t="s">
        <v>145</v>
      </c>
      <c r="C83" s="54" t="s">
        <v>129</v>
      </c>
      <c r="D83" s="54" t="s">
        <v>136</v>
      </c>
      <c r="E83" s="54" t="s">
        <v>131</v>
      </c>
      <c r="F83" s="54" t="s">
        <v>137</v>
      </c>
      <c r="G83" s="54"/>
      <c r="H83" s="54"/>
    </row>
    <row r="84" spans="1:41" hidden="1" outlineLevel="1">
      <c r="A84" s="54">
        <v>1</v>
      </c>
      <c r="B84" s="125" t="s">
        <v>146</v>
      </c>
      <c r="C84" s="125" t="s">
        <v>25</v>
      </c>
      <c r="D84" s="126">
        <v>0</v>
      </c>
      <c r="E84" s="125">
        <v>4.2857142857142858E-2</v>
      </c>
      <c r="F84" s="113">
        <f>D84*E84</f>
        <v>0</v>
      </c>
      <c r="G84" s="54"/>
      <c r="H84" s="54"/>
    </row>
    <row r="85" spans="1:41" hidden="1" outlineLevel="1">
      <c r="A85" s="54">
        <f>A84+1</f>
        <v>2</v>
      </c>
      <c r="B85" s="125" t="s">
        <v>147</v>
      </c>
      <c r="C85" s="125" t="s">
        <v>142</v>
      </c>
      <c r="D85" s="126"/>
      <c r="E85" s="125"/>
      <c r="F85" s="113">
        <f>D85*E85</f>
        <v>0</v>
      </c>
      <c r="G85" s="54"/>
      <c r="H85" s="54"/>
    </row>
    <row r="86" spans="1:41" hidden="1" outlineLevel="1">
      <c r="A86" s="54">
        <f>A85+1</f>
        <v>3</v>
      </c>
      <c r="B86" s="125" t="s">
        <v>148</v>
      </c>
      <c r="C86" s="125" t="s">
        <v>26</v>
      </c>
      <c r="D86" s="126">
        <v>0</v>
      </c>
      <c r="E86" s="125">
        <v>6.2857142857142861E-2</v>
      </c>
      <c r="F86" s="113">
        <f>D86*E86</f>
        <v>0</v>
      </c>
      <c r="G86" s="54"/>
      <c r="H86" s="54"/>
    </row>
    <row r="87" spans="1:41" hidden="1" outlineLevel="1">
      <c r="A87" s="54">
        <f>A86+1</f>
        <v>4</v>
      </c>
      <c r="B87" s="125" t="s">
        <v>27</v>
      </c>
      <c r="C87" s="125" t="s">
        <v>26</v>
      </c>
      <c r="D87" s="126">
        <v>0</v>
      </c>
      <c r="E87" s="125">
        <v>0.17142857142857143</v>
      </c>
      <c r="F87" s="113">
        <f>D87*E87</f>
        <v>0</v>
      </c>
      <c r="G87" s="54"/>
      <c r="H87" s="54"/>
    </row>
    <row r="88" spans="1:41" hidden="1" outlineLevel="1">
      <c r="A88" s="54">
        <f>A87+1</f>
        <v>5</v>
      </c>
      <c r="B88" s="125" t="s">
        <v>149</v>
      </c>
      <c r="C88" s="125"/>
      <c r="D88" s="126"/>
      <c r="E88" s="125"/>
      <c r="F88" s="113">
        <f>D88*E88</f>
        <v>0</v>
      </c>
      <c r="G88" s="54"/>
      <c r="H88" s="54"/>
    </row>
    <row r="89" spans="1:41" hidden="1" outlineLevel="1">
      <c r="A89" s="54"/>
      <c r="B89" s="54" t="s">
        <v>6</v>
      </c>
      <c r="C89" s="54"/>
      <c r="D89" s="116">
        <f>SUM(D84:D88)</f>
        <v>0</v>
      </c>
      <c r="E89" s="54"/>
      <c r="F89" s="116">
        <f>SUM(F84:F88)</f>
        <v>0</v>
      </c>
      <c r="G89" s="54"/>
      <c r="H89" s="116"/>
    </row>
    <row r="90" spans="1:41" customFormat="1" ht="24.75" customHeight="1" collapsed="1">
      <c r="A90" s="31">
        <v>3</v>
      </c>
      <c r="B90" s="103" t="s">
        <v>150</v>
      </c>
      <c r="C90" s="104"/>
      <c r="D90" s="104"/>
      <c r="E90" s="82" t="str">
        <f>E38</f>
        <v>$</v>
      </c>
      <c r="F90" s="124">
        <v>446073.59999999998</v>
      </c>
      <c r="G90" s="55"/>
      <c r="H90" s="118" t="e">
        <f>F90/$F$38</f>
        <v>#DIV/0!</v>
      </c>
      <c r="I90" s="32"/>
      <c r="J90" s="32"/>
      <c r="K90" s="32"/>
      <c r="L90" s="33"/>
      <c r="M90" s="32"/>
      <c r="N90" s="32"/>
      <c r="O90" s="32"/>
      <c r="P90" s="32"/>
      <c r="Q90" s="32"/>
      <c r="R90" s="32"/>
      <c r="S90" s="32"/>
      <c r="T90" s="32"/>
      <c r="U90" s="32"/>
      <c r="V90" s="32"/>
      <c r="W90" s="32"/>
      <c r="X90" s="32"/>
      <c r="Y90" s="32"/>
      <c r="Z90" s="32"/>
      <c r="AA90" s="32"/>
      <c r="AG90" s="32"/>
      <c r="AH90" s="32"/>
      <c r="AI90" s="32"/>
      <c r="AJ90" s="32"/>
      <c r="AK90" s="32"/>
      <c r="AL90" s="32"/>
      <c r="AM90" s="32"/>
      <c r="AN90" s="32"/>
      <c r="AO90" s="32"/>
    </row>
    <row r="91" spans="1:41" ht="25.5" hidden="1" outlineLevel="1">
      <c r="A91" s="54" t="s">
        <v>13</v>
      </c>
      <c r="B91" s="54" t="s">
        <v>135</v>
      </c>
      <c r="C91" s="54" t="s">
        <v>129</v>
      </c>
      <c r="D91" s="54" t="s">
        <v>151</v>
      </c>
      <c r="E91" s="54" t="s">
        <v>152</v>
      </c>
      <c r="F91" s="54" t="s">
        <v>153</v>
      </c>
      <c r="G91" s="54"/>
      <c r="H91" s="54"/>
    </row>
    <row r="92" spans="1:41" hidden="1" outlineLevel="1">
      <c r="A92" s="54">
        <v>1</v>
      </c>
      <c r="B92" s="127" t="s">
        <v>154</v>
      </c>
      <c r="C92" s="127" t="s">
        <v>155</v>
      </c>
      <c r="D92" s="128">
        <v>100</v>
      </c>
      <c r="E92" s="127">
        <v>295</v>
      </c>
      <c r="F92" s="113">
        <f>D92*E92*12</f>
        <v>354000</v>
      </c>
      <c r="G92" s="54"/>
      <c r="H92" s="54"/>
    </row>
    <row r="93" spans="1:41" hidden="1" outlineLevel="1">
      <c r="A93" s="54">
        <f>A92+1</f>
        <v>2</v>
      </c>
      <c r="B93" s="127" t="s">
        <v>156</v>
      </c>
      <c r="C93" s="127" t="s">
        <v>155</v>
      </c>
      <c r="D93" s="128">
        <v>5</v>
      </c>
      <c r="E93" s="127">
        <v>227</v>
      </c>
      <c r="F93" s="113">
        <f>D93*E93*12</f>
        <v>13620</v>
      </c>
      <c r="G93" s="54"/>
      <c r="H93" s="54"/>
    </row>
    <row r="94" spans="1:41" hidden="1" outlineLevel="1">
      <c r="A94" s="54">
        <f>A93+1</f>
        <v>3</v>
      </c>
      <c r="B94" s="127" t="s">
        <v>157</v>
      </c>
      <c r="C94" s="127" t="s">
        <v>155</v>
      </c>
      <c r="D94" s="128">
        <v>5</v>
      </c>
      <c r="E94" s="127">
        <v>511</v>
      </c>
      <c r="F94" s="113">
        <f>D94*E94*12</f>
        <v>30660</v>
      </c>
      <c r="G94" s="54"/>
      <c r="H94" s="54"/>
    </row>
    <row r="95" spans="1:41" hidden="1" outlineLevel="1">
      <c r="A95" s="54">
        <f>A94+1</f>
        <v>4</v>
      </c>
      <c r="B95" s="127" t="s">
        <v>158</v>
      </c>
      <c r="C95" s="127">
        <v>0.12</v>
      </c>
      <c r="D95" s="128"/>
      <c r="E95" s="127"/>
      <c r="F95" s="113">
        <f>SUM(F92:F94)*C95</f>
        <v>47793.599999999999</v>
      </c>
      <c r="G95" s="54"/>
      <c r="H95" s="54"/>
    </row>
    <row r="96" spans="1:41" hidden="1" outlineLevel="1">
      <c r="A96" s="54"/>
      <c r="B96" s="54" t="s">
        <v>6</v>
      </c>
      <c r="C96" s="54"/>
      <c r="D96" s="116">
        <f>SUM(D92:D95)</f>
        <v>110</v>
      </c>
      <c r="E96" s="54"/>
      <c r="F96" s="116">
        <f>SUM(F92:F95)</f>
        <v>446073.59999999998</v>
      </c>
      <c r="G96" s="54"/>
      <c r="H96" s="116"/>
    </row>
    <row r="97" spans="1:41" customFormat="1" collapsed="1">
      <c r="A97" s="31">
        <v>4</v>
      </c>
      <c r="B97" s="103" t="s">
        <v>159</v>
      </c>
      <c r="C97" s="104"/>
      <c r="D97" s="104"/>
      <c r="E97" s="82" t="str">
        <f>E38</f>
        <v>$</v>
      </c>
      <c r="F97" s="124">
        <f>F103</f>
        <v>825000</v>
      </c>
      <c r="G97" s="55"/>
      <c r="H97" s="118" t="e">
        <f>F97/$F$38</f>
        <v>#DIV/0!</v>
      </c>
      <c r="I97" s="32"/>
      <c r="J97" s="32"/>
      <c r="K97" s="32"/>
      <c r="L97" s="33"/>
      <c r="M97" s="32"/>
      <c r="N97" s="32"/>
      <c r="O97" s="32"/>
      <c r="P97" s="32"/>
      <c r="Q97" s="32"/>
      <c r="R97" s="32"/>
      <c r="S97" s="32"/>
      <c r="T97" s="32"/>
      <c r="U97" s="32"/>
      <c r="V97" s="32"/>
      <c r="W97" s="32"/>
      <c r="X97" s="32"/>
      <c r="Y97" s="32"/>
      <c r="Z97" s="32"/>
      <c r="AA97" s="32"/>
      <c r="AG97" s="32"/>
      <c r="AH97" s="32"/>
      <c r="AI97" s="32"/>
      <c r="AJ97" s="32"/>
      <c r="AK97" s="32"/>
      <c r="AL97" s="32"/>
      <c r="AM97" s="32"/>
      <c r="AN97" s="32"/>
      <c r="AO97" s="32"/>
    </row>
    <row r="98" spans="1:41" ht="25.5" hidden="1" outlineLevel="1">
      <c r="A98" s="54" t="s">
        <v>13</v>
      </c>
      <c r="B98" s="54" t="s">
        <v>145</v>
      </c>
      <c r="C98" s="54" t="s">
        <v>129</v>
      </c>
      <c r="D98" s="54" t="s">
        <v>160</v>
      </c>
      <c r="E98" s="54" t="s">
        <v>0</v>
      </c>
      <c r="F98" s="54" t="s">
        <v>137</v>
      </c>
      <c r="G98" s="54"/>
      <c r="H98" s="54"/>
    </row>
    <row r="99" spans="1:41" ht="25.5" hidden="1" outlineLevel="1">
      <c r="A99" s="54">
        <v>1</v>
      </c>
      <c r="B99" s="129" t="s">
        <v>161</v>
      </c>
      <c r="C99" s="129"/>
      <c r="D99" s="130">
        <v>27500000</v>
      </c>
      <c r="E99" s="131">
        <v>0.02</v>
      </c>
      <c r="F99" s="113">
        <f>D99*E99</f>
        <v>550000</v>
      </c>
      <c r="G99" s="54"/>
      <c r="H99" s="54"/>
    </row>
    <row r="100" spans="1:41" ht="25.5" hidden="1" outlineLevel="1">
      <c r="A100" s="54">
        <f>A99+1</f>
        <v>2</v>
      </c>
      <c r="B100" s="129" t="s">
        <v>162</v>
      </c>
      <c r="C100" s="129"/>
      <c r="D100" s="130">
        <f>D99</f>
        <v>27500000</v>
      </c>
      <c r="E100" s="131">
        <v>0.01</v>
      </c>
      <c r="F100" s="113">
        <f>D100*E100</f>
        <v>275000</v>
      </c>
      <c r="G100" s="54"/>
      <c r="H100" s="54"/>
    </row>
    <row r="101" spans="1:41" ht="25.5" hidden="1" outlineLevel="1">
      <c r="A101" s="54">
        <f>A100+1</f>
        <v>3</v>
      </c>
      <c r="B101" s="129" t="s">
        <v>163</v>
      </c>
      <c r="C101" s="129"/>
      <c r="D101" s="130">
        <v>0</v>
      </c>
      <c r="E101" s="131">
        <v>0.05</v>
      </c>
      <c r="F101" s="113">
        <f>D101*E101</f>
        <v>0</v>
      </c>
      <c r="G101" s="54"/>
      <c r="H101" s="54"/>
    </row>
    <row r="102" spans="1:41" hidden="1" outlineLevel="1">
      <c r="A102" s="54">
        <f>A101+1</f>
        <v>4</v>
      </c>
      <c r="B102" s="129" t="s">
        <v>149</v>
      </c>
      <c r="C102" s="129"/>
      <c r="D102" s="130">
        <f>D101</f>
        <v>0</v>
      </c>
      <c r="E102" s="131">
        <v>0.01</v>
      </c>
      <c r="F102" s="113">
        <f>D102*E102</f>
        <v>0</v>
      </c>
      <c r="G102" s="54"/>
      <c r="H102" s="54"/>
    </row>
    <row r="103" spans="1:41" hidden="1" outlineLevel="1">
      <c r="A103" s="54"/>
      <c r="B103" s="54" t="s">
        <v>6</v>
      </c>
      <c r="C103" s="54"/>
      <c r="D103" s="116">
        <f>SUM(D99:D102)</f>
        <v>55000000</v>
      </c>
      <c r="E103" s="54"/>
      <c r="F103" s="116">
        <f>SUM(F99:F102)</f>
        <v>825000</v>
      </c>
      <c r="G103" s="54"/>
      <c r="H103" s="116"/>
    </row>
    <row r="104" spans="1:41" customFormat="1" collapsed="1">
      <c r="A104" s="31">
        <v>5</v>
      </c>
      <c r="B104" s="103" t="s">
        <v>12</v>
      </c>
      <c r="C104" s="104"/>
      <c r="D104" s="104"/>
      <c r="E104" s="82" t="str">
        <f>E38</f>
        <v>$</v>
      </c>
      <c r="F104" s="124">
        <v>58944.75</v>
      </c>
      <c r="G104" s="55"/>
      <c r="H104" s="118" t="e">
        <f>F104/$F$38</f>
        <v>#DIV/0!</v>
      </c>
      <c r="I104" s="32"/>
      <c r="J104" s="32"/>
      <c r="K104" s="32"/>
      <c r="L104" s="33"/>
      <c r="M104" s="32"/>
      <c r="N104" s="32"/>
      <c r="O104" s="32"/>
      <c r="P104" s="32"/>
      <c r="Q104" s="32"/>
      <c r="R104" s="32"/>
      <c r="S104" s="32"/>
      <c r="T104" s="32"/>
      <c r="U104" s="32"/>
      <c r="V104" s="32"/>
      <c r="W104" s="32"/>
      <c r="X104" s="32"/>
      <c r="Y104" s="32"/>
      <c r="Z104" s="32"/>
      <c r="AA104" s="32"/>
      <c r="AG104" s="32"/>
      <c r="AH104" s="32"/>
      <c r="AI104" s="32"/>
      <c r="AJ104" s="32"/>
      <c r="AK104" s="32"/>
      <c r="AL104" s="32"/>
      <c r="AM104" s="32"/>
      <c r="AN104" s="32"/>
      <c r="AO104" s="32"/>
    </row>
    <row r="105" spans="1:41" ht="25.5" hidden="1" outlineLevel="1">
      <c r="A105" s="54" t="s">
        <v>13</v>
      </c>
      <c r="B105" s="54" t="s">
        <v>145</v>
      </c>
      <c r="C105" s="54" t="s">
        <v>129</v>
      </c>
      <c r="D105" s="54" t="s">
        <v>160</v>
      </c>
      <c r="E105" s="54" t="s">
        <v>0</v>
      </c>
      <c r="F105" s="54" t="s">
        <v>137</v>
      </c>
      <c r="G105" s="54"/>
      <c r="H105" s="54"/>
    </row>
    <row r="106" spans="1:41" ht="25.5" hidden="1" outlineLevel="1">
      <c r="A106" s="54">
        <v>1</v>
      </c>
      <c r="B106" s="119" t="s">
        <v>164</v>
      </c>
      <c r="C106" s="119" t="s">
        <v>155</v>
      </c>
      <c r="D106" s="120">
        <v>3</v>
      </c>
      <c r="E106" s="120">
        <v>731</v>
      </c>
      <c r="F106" s="113">
        <f>D106*E106*12</f>
        <v>26316</v>
      </c>
      <c r="G106" s="54"/>
      <c r="H106" s="54"/>
    </row>
    <row r="107" spans="1:41" hidden="1" outlineLevel="1">
      <c r="A107" s="54">
        <f>A106+1</f>
        <v>2</v>
      </c>
      <c r="B107" s="119" t="s">
        <v>165</v>
      </c>
      <c r="C107" s="119"/>
      <c r="D107" s="120">
        <v>29662500</v>
      </c>
      <c r="E107" s="132">
        <v>1.1000000000000001E-3</v>
      </c>
      <c r="F107" s="113">
        <f>D107*E107</f>
        <v>32628.750000000004</v>
      </c>
      <c r="G107" s="54"/>
      <c r="H107" s="54"/>
    </row>
    <row r="108" spans="1:41" hidden="1" outlineLevel="1">
      <c r="A108" s="54">
        <f>A107+1</f>
        <v>3</v>
      </c>
      <c r="B108" s="119" t="s">
        <v>166</v>
      </c>
      <c r="C108" s="119"/>
      <c r="D108" s="120">
        <f>F38</f>
        <v>0</v>
      </c>
      <c r="E108" s="132">
        <v>0.02</v>
      </c>
      <c r="F108" s="113">
        <f>D108*E108</f>
        <v>0</v>
      </c>
      <c r="G108" s="54"/>
      <c r="H108" s="54"/>
    </row>
    <row r="109" spans="1:41" hidden="1" outlineLevel="1">
      <c r="A109" s="54">
        <f>A108+1</f>
        <v>4</v>
      </c>
      <c r="B109" s="119" t="s">
        <v>2</v>
      </c>
      <c r="C109" s="119"/>
      <c r="D109" s="120">
        <f>F38</f>
        <v>0</v>
      </c>
      <c r="E109" s="132">
        <v>5.0000000000000001E-3</v>
      </c>
      <c r="F109" s="113">
        <f>D109*E109</f>
        <v>0</v>
      </c>
      <c r="G109" s="54"/>
      <c r="H109" s="54"/>
    </row>
    <row r="110" spans="1:41" hidden="1" outlineLevel="1">
      <c r="A110" s="54"/>
      <c r="B110" s="54" t="s">
        <v>6</v>
      </c>
      <c r="C110" s="54"/>
      <c r="D110" s="116">
        <f>SUM(D106:D109)</f>
        <v>29662503</v>
      </c>
      <c r="E110" s="54"/>
      <c r="F110" s="116">
        <f>SUM(F106:F109)</f>
        <v>58944.75</v>
      </c>
      <c r="G110" s="54"/>
      <c r="H110" s="116"/>
    </row>
    <row r="111" spans="1:41" customFormat="1" collapsed="1">
      <c r="A111" s="31">
        <v>6</v>
      </c>
      <c r="B111" s="103" t="s">
        <v>167</v>
      </c>
      <c r="C111" s="104"/>
      <c r="D111" s="104"/>
      <c r="E111" s="82" t="str">
        <f>E38</f>
        <v>$</v>
      </c>
      <c r="F111" s="124">
        <v>0</v>
      </c>
      <c r="G111" s="55"/>
      <c r="H111" s="118" t="e">
        <f>F111/$F$38</f>
        <v>#DIV/0!</v>
      </c>
      <c r="I111" s="32"/>
      <c r="J111" s="32"/>
      <c r="K111" s="32"/>
      <c r="L111" s="33"/>
      <c r="M111" s="32"/>
      <c r="N111" s="32"/>
      <c r="O111" s="32"/>
      <c r="P111" s="32"/>
      <c r="Q111" s="32"/>
      <c r="R111" s="32"/>
      <c r="S111" s="32"/>
      <c r="T111" s="32"/>
      <c r="U111" s="32"/>
      <c r="V111" s="32"/>
      <c r="W111" s="32"/>
      <c r="X111" s="32"/>
      <c r="Y111" s="32"/>
      <c r="Z111" s="32"/>
      <c r="AA111" s="32"/>
      <c r="AG111" s="32"/>
      <c r="AH111" s="32"/>
      <c r="AI111" s="32"/>
      <c r="AJ111" s="32"/>
      <c r="AK111" s="32"/>
      <c r="AL111" s="32"/>
      <c r="AM111" s="32"/>
      <c r="AN111" s="32"/>
      <c r="AO111" s="32"/>
    </row>
    <row r="112" spans="1:41" ht="25.5" hidden="1" outlineLevel="1">
      <c r="A112" s="54" t="s">
        <v>13</v>
      </c>
      <c r="B112" s="54" t="s">
        <v>145</v>
      </c>
      <c r="C112" s="54" t="s">
        <v>129</v>
      </c>
      <c r="D112" s="54" t="s">
        <v>160</v>
      </c>
      <c r="E112" s="54" t="s">
        <v>0</v>
      </c>
      <c r="F112" s="54" t="s">
        <v>137</v>
      </c>
      <c r="G112" s="54"/>
      <c r="H112" s="54"/>
    </row>
    <row r="113" spans="1:41" ht="27" hidden="1" customHeight="1" outlineLevel="1">
      <c r="A113" s="54">
        <v>1</v>
      </c>
      <c r="B113" s="133" t="s">
        <v>168</v>
      </c>
      <c r="C113" s="134">
        <v>0.05</v>
      </c>
      <c r="D113" s="135">
        <f>F38</f>
        <v>0</v>
      </c>
      <c r="E113" s="136">
        <v>0.1</v>
      </c>
      <c r="F113" s="113">
        <f>D113*E113</f>
        <v>0</v>
      </c>
      <c r="G113" s="54"/>
      <c r="H113" s="54"/>
    </row>
    <row r="114" spans="1:41" hidden="1" outlineLevel="1">
      <c r="A114" s="54">
        <f>A113+1</f>
        <v>2</v>
      </c>
      <c r="B114" s="133" t="s">
        <v>169</v>
      </c>
      <c r="C114" s="133"/>
      <c r="D114" s="135"/>
      <c r="E114" s="136"/>
      <c r="F114" s="113">
        <f>D114*E114</f>
        <v>0</v>
      </c>
      <c r="G114" s="54"/>
      <c r="H114" s="54"/>
    </row>
    <row r="115" spans="1:41" hidden="1" outlineLevel="1">
      <c r="A115" s="54"/>
      <c r="B115" s="54" t="s">
        <v>6</v>
      </c>
      <c r="C115" s="54"/>
      <c r="D115" s="116"/>
      <c r="E115" s="54"/>
      <c r="F115" s="116">
        <f>SUM(F113:F114)</f>
        <v>0</v>
      </c>
      <c r="G115" s="54"/>
      <c r="H115" s="116"/>
    </row>
    <row r="116" spans="1:41" customFormat="1" collapsed="1">
      <c r="A116" s="31">
        <v>7</v>
      </c>
      <c r="B116" s="103" t="s">
        <v>170</v>
      </c>
      <c r="C116" s="104"/>
      <c r="D116" s="104"/>
      <c r="E116" s="82" t="str">
        <f>E38</f>
        <v>$</v>
      </c>
      <c r="F116" s="124">
        <f>F121</f>
        <v>4638650</v>
      </c>
      <c r="G116" s="55"/>
      <c r="H116" s="118" t="e">
        <f>F116/$F$38</f>
        <v>#DIV/0!</v>
      </c>
      <c r="I116" s="32"/>
      <c r="J116" s="32"/>
      <c r="K116" s="32"/>
      <c r="L116" s="33"/>
      <c r="M116" s="32"/>
      <c r="N116" s="32"/>
      <c r="O116" s="32"/>
      <c r="P116" s="32"/>
      <c r="Q116" s="32"/>
      <c r="R116" s="32"/>
      <c r="S116" s="32"/>
      <c r="T116" s="32"/>
      <c r="U116" s="32"/>
      <c r="V116" s="32"/>
      <c r="W116" s="32"/>
      <c r="X116" s="32"/>
      <c r="Y116" s="32"/>
      <c r="Z116" s="32"/>
      <c r="AA116" s="32"/>
      <c r="AG116" s="32"/>
      <c r="AH116" s="32"/>
      <c r="AI116" s="32"/>
      <c r="AJ116" s="32"/>
      <c r="AK116" s="32"/>
      <c r="AL116" s="32"/>
      <c r="AM116" s="32"/>
      <c r="AN116" s="32"/>
      <c r="AO116" s="32"/>
    </row>
    <row r="117" spans="1:41" ht="25.5" hidden="1" outlineLevel="1">
      <c r="A117" s="54" t="s">
        <v>13</v>
      </c>
      <c r="B117" s="54" t="s">
        <v>145</v>
      </c>
      <c r="C117" s="54" t="s">
        <v>129</v>
      </c>
      <c r="D117" s="54" t="s">
        <v>160</v>
      </c>
      <c r="E117" s="54" t="s">
        <v>0</v>
      </c>
      <c r="F117" s="54" t="s">
        <v>137</v>
      </c>
      <c r="G117" s="54"/>
      <c r="H117" s="54"/>
    </row>
    <row r="118" spans="1:41" hidden="1" outlineLevel="1">
      <c r="A118" s="54">
        <v>1</v>
      </c>
      <c r="B118" s="119" t="s">
        <v>171</v>
      </c>
      <c r="C118" s="119"/>
      <c r="D118" s="120">
        <v>0</v>
      </c>
      <c r="E118" s="132">
        <v>0.03</v>
      </c>
      <c r="F118" s="113">
        <f>D118*E118</f>
        <v>0</v>
      </c>
      <c r="G118" s="54"/>
      <c r="H118" s="54"/>
    </row>
    <row r="119" spans="1:41" hidden="1" outlineLevel="1">
      <c r="A119" s="54">
        <f>A118+1</f>
        <v>2</v>
      </c>
      <c r="B119" s="119" t="s">
        <v>172</v>
      </c>
      <c r="C119" s="119"/>
      <c r="D119" s="120">
        <v>28250000</v>
      </c>
      <c r="E119" s="132">
        <v>0.15</v>
      </c>
      <c r="F119" s="113">
        <f>D119*E119</f>
        <v>4237500</v>
      </c>
      <c r="G119" s="54"/>
      <c r="H119" s="54"/>
    </row>
    <row r="120" spans="1:41" hidden="1" outlineLevel="1">
      <c r="A120" s="54">
        <f>A119+1</f>
        <v>3</v>
      </c>
      <c r="B120" s="119" t="s">
        <v>149</v>
      </c>
      <c r="C120" s="119"/>
      <c r="D120" s="120">
        <v>2005750</v>
      </c>
      <c r="E120" s="132">
        <v>0.2</v>
      </c>
      <c r="F120" s="113">
        <f>D120*E120</f>
        <v>401150</v>
      </c>
      <c r="G120" s="54"/>
      <c r="H120" s="54"/>
    </row>
    <row r="121" spans="1:41" hidden="1" outlineLevel="1">
      <c r="A121" s="54"/>
      <c r="B121" s="54" t="s">
        <v>6</v>
      </c>
      <c r="C121" s="54"/>
      <c r="D121" s="116">
        <f>SUM(D118:D120)</f>
        <v>30255750</v>
      </c>
      <c r="E121" s="54"/>
      <c r="F121" s="116">
        <f>SUM(F118:F120)</f>
        <v>4638650</v>
      </c>
      <c r="G121" s="54"/>
      <c r="H121" s="116"/>
    </row>
    <row r="122" spans="1:41" customFormat="1" collapsed="1">
      <c r="A122" s="31">
        <v>7</v>
      </c>
      <c r="B122" s="103" t="s">
        <v>173</v>
      </c>
      <c r="C122" s="104"/>
      <c r="D122" s="104"/>
      <c r="E122" s="82" t="str">
        <f>E44</f>
        <v>$</v>
      </c>
      <c r="F122" s="124">
        <f>F127</f>
        <v>0</v>
      </c>
      <c r="G122" s="55"/>
      <c r="H122" s="118" t="e">
        <f>F122/$F$38</f>
        <v>#DIV/0!</v>
      </c>
      <c r="I122" s="32"/>
      <c r="J122" s="32"/>
      <c r="K122" s="32"/>
      <c r="L122" s="33"/>
      <c r="M122" s="32"/>
      <c r="N122" s="32"/>
      <c r="O122" s="32"/>
      <c r="P122" s="32"/>
      <c r="Q122" s="32"/>
      <c r="R122" s="32"/>
      <c r="S122" s="32"/>
      <c r="T122" s="32"/>
      <c r="U122" s="32"/>
      <c r="V122" s="32"/>
      <c r="W122" s="32"/>
      <c r="X122" s="32"/>
      <c r="Y122" s="32"/>
      <c r="Z122" s="32"/>
      <c r="AA122" s="32"/>
      <c r="AG122" s="32"/>
      <c r="AH122" s="32"/>
      <c r="AI122" s="32"/>
      <c r="AJ122" s="32"/>
      <c r="AK122" s="32"/>
      <c r="AL122" s="32"/>
      <c r="AM122" s="32"/>
      <c r="AN122" s="32"/>
      <c r="AO122" s="32"/>
    </row>
    <row r="123" spans="1:41" ht="25.5" hidden="1" outlineLevel="1">
      <c r="A123" s="54" t="s">
        <v>13</v>
      </c>
      <c r="B123" s="54" t="s">
        <v>145</v>
      </c>
      <c r="C123" s="54" t="s">
        <v>129</v>
      </c>
      <c r="D123" s="54" t="s">
        <v>160</v>
      </c>
      <c r="E123" s="54" t="s">
        <v>0</v>
      </c>
      <c r="F123" s="54" t="s">
        <v>137</v>
      </c>
      <c r="G123" s="54"/>
      <c r="H123" s="54"/>
    </row>
    <row r="124" spans="1:41" hidden="1" outlineLevel="1">
      <c r="A124" s="54">
        <v>1</v>
      </c>
      <c r="B124" s="110" t="s">
        <v>8</v>
      </c>
      <c r="C124" s="110"/>
      <c r="D124" s="111">
        <v>0</v>
      </c>
      <c r="E124" s="137"/>
      <c r="F124" s="113"/>
      <c r="G124" s="54"/>
      <c r="H124" s="54"/>
    </row>
    <row r="125" spans="1:41" hidden="1" outlineLevel="1">
      <c r="A125" s="54">
        <f>A124+1</f>
        <v>2</v>
      </c>
      <c r="B125" s="110" t="s">
        <v>174</v>
      </c>
      <c r="C125" s="110"/>
      <c r="D125" s="111"/>
      <c r="E125" s="111">
        <v>3</v>
      </c>
      <c r="F125" s="113">
        <f>D124/E125</f>
        <v>0</v>
      </c>
      <c r="G125" s="54"/>
      <c r="H125" s="54"/>
    </row>
    <row r="126" spans="1:41" hidden="1" outlineLevel="1">
      <c r="A126" s="54">
        <f>A125+1</f>
        <v>3</v>
      </c>
      <c r="B126" s="110" t="s">
        <v>0</v>
      </c>
      <c r="C126" s="110"/>
      <c r="D126" s="111"/>
      <c r="E126" s="137">
        <v>0.13</v>
      </c>
      <c r="F126" s="113">
        <f>D124*E126</f>
        <v>0</v>
      </c>
      <c r="G126" s="54"/>
      <c r="H126" s="54"/>
    </row>
    <row r="127" spans="1:41" hidden="1" outlineLevel="1">
      <c r="A127" s="54"/>
      <c r="B127" s="54" t="s">
        <v>6</v>
      </c>
      <c r="C127" s="54"/>
      <c r="D127" s="116">
        <f>SUM(D124:D126)</f>
        <v>0</v>
      </c>
      <c r="E127" s="54"/>
      <c r="F127" s="116">
        <f>SUM(F124:F126)</f>
        <v>0</v>
      </c>
      <c r="G127" s="54"/>
      <c r="H127" s="116"/>
    </row>
    <row r="128" spans="1:41" customFormat="1" collapsed="1">
      <c r="A128" s="31">
        <v>8</v>
      </c>
      <c r="B128" s="138" t="s">
        <v>175</v>
      </c>
      <c r="C128" s="138"/>
      <c r="D128" s="138"/>
      <c r="E128" s="139"/>
      <c r="F128" s="140">
        <f>F38-F44-F82-F90-F97-F104-F111-F116-F122</f>
        <v>-6812919.7785714287</v>
      </c>
      <c r="G128" s="139"/>
      <c r="H128" s="141" t="e">
        <f>F128/$F$38</f>
        <v>#DIV/0!</v>
      </c>
      <c r="I128" s="32"/>
      <c r="J128" s="32"/>
      <c r="K128" s="32"/>
      <c r="L128" s="33"/>
      <c r="M128" s="32"/>
      <c r="N128" s="32"/>
      <c r="O128" s="32"/>
      <c r="P128" s="32"/>
      <c r="Q128" s="32"/>
      <c r="R128" s="32"/>
      <c r="S128" s="32"/>
      <c r="T128" s="32"/>
      <c r="U128" s="32"/>
      <c r="V128" s="32"/>
      <c r="W128" s="32"/>
      <c r="X128" s="32"/>
      <c r="Y128" s="32"/>
      <c r="Z128" s="32"/>
      <c r="AA128" s="32"/>
      <c r="AG128" s="32"/>
      <c r="AH128" s="32"/>
      <c r="AI128" s="32"/>
      <c r="AJ128" s="32"/>
      <c r="AK128" s="32"/>
      <c r="AL128" s="32"/>
      <c r="AM128" s="32"/>
      <c r="AN128" s="32"/>
      <c r="AO128" s="32"/>
    </row>
    <row r="129" spans="1:159" customFormat="1">
      <c r="A129" s="31"/>
      <c r="B129" s="31"/>
      <c r="C129" s="31"/>
      <c r="D129" s="31"/>
      <c r="E129" s="32"/>
      <c r="F129" s="32"/>
      <c r="G129" s="32"/>
      <c r="H129" s="32"/>
      <c r="I129" s="32"/>
      <c r="J129" s="32"/>
      <c r="K129" s="32"/>
      <c r="L129" s="33"/>
      <c r="M129" s="32"/>
      <c r="N129" s="32"/>
      <c r="O129" s="32"/>
      <c r="P129" s="32"/>
      <c r="Q129" s="32"/>
      <c r="R129" s="32"/>
      <c r="S129" s="32"/>
      <c r="T129" s="32"/>
      <c r="U129" s="32"/>
      <c r="V129" s="32"/>
      <c r="W129" s="32"/>
      <c r="X129" s="32"/>
      <c r="Y129" s="32"/>
      <c r="Z129" s="32"/>
      <c r="AA129" s="32"/>
      <c r="AG129" s="32"/>
      <c r="AH129" s="32"/>
      <c r="AI129" s="32"/>
      <c r="AJ129" s="32"/>
      <c r="AK129" s="32"/>
      <c r="AL129" s="32"/>
      <c r="AM129" s="32"/>
      <c r="AN129" s="32"/>
      <c r="AO129" s="32"/>
    </row>
    <row r="130" spans="1:159" ht="12.75" customHeight="1"/>
    <row r="131" spans="1:159" ht="25.5" customHeight="1"/>
    <row r="132" spans="1:159" ht="12.75" customHeight="1"/>
    <row r="133" spans="1:159" ht="38.25" customHeight="1"/>
    <row r="134" spans="1:159" ht="25.5" customHeight="1"/>
    <row r="135" spans="1:159" s="31" customFormat="1" ht="25.5" customHeight="1">
      <c r="E135" s="32"/>
      <c r="F135" s="32"/>
      <c r="G135" s="32"/>
      <c r="H135" s="32"/>
      <c r="I135" s="32"/>
      <c r="J135" s="32"/>
      <c r="K135" s="32"/>
      <c r="L135" s="33"/>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row>
    <row r="136" spans="1:159" s="31" customFormat="1" ht="25.5" customHeight="1">
      <c r="E136" s="32"/>
      <c r="F136" s="32"/>
      <c r="G136" s="32"/>
      <c r="H136" s="32"/>
      <c r="I136" s="32"/>
      <c r="J136" s="32"/>
      <c r="K136" s="32"/>
      <c r="L136" s="33"/>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row>
  </sheetData>
  <mergeCells count="30">
    <mergeCell ref="C11:C30"/>
    <mergeCell ref="P11:P30"/>
    <mergeCell ref="AC11:AC30"/>
    <mergeCell ref="M8:M9"/>
    <mergeCell ref="N8:N9"/>
    <mergeCell ref="O8:O9"/>
    <mergeCell ref="P8:P9"/>
    <mergeCell ref="Q8:Q9"/>
    <mergeCell ref="T8:T9"/>
    <mergeCell ref="G8:G9"/>
    <mergeCell ref="H8:H9"/>
    <mergeCell ref="I8:I9"/>
    <mergeCell ref="J8:J9"/>
    <mergeCell ref="K8:K9"/>
    <mergeCell ref="F8:F9"/>
    <mergeCell ref="L8:L9"/>
    <mergeCell ref="M3:N3"/>
    <mergeCell ref="M4:N4"/>
    <mergeCell ref="M5:N5"/>
    <mergeCell ref="AB8:AB10"/>
    <mergeCell ref="AC8:AC10"/>
    <mergeCell ref="V5:AA5"/>
    <mergeCell ref="Z8:Z10"/>
    <mergeCell ref="AA8:AA10"/>
    <mergeCell ref="U8:U10"/>
    <mergeCell ref="A8:A10"/>
    <mergeCell ref="B8:B9"/>
    <mergeCell ref="C8:C9"/>
    <mergeCell ref="D8:D9"/>
    <mergeCell ref="E8:E9"/>
  </mergeCells>
  <printOptions horizontalCentered="1" verticalCentered="1"/>
  <pageMargins left="0.51181102362204722" right="0.11811023622047245" top="0.39370078740157483" bottom="0.35433070866141736" header="0.23622047244094491" footer="0.23622047244094491"/>
  <pageSetup paperSize="9" scale="32" orientation="landscape" horizontalDpi="120" verticalDpi="144"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3CB9-C6C5-4887-AD77-ACF9EF0B11A5}">
  <sheetPr>
    <pageSetUpPr fitToPage="1"/>
  </sheetPr>
  <dimension ref="A1:R199"/>
  <sheetViews>
    <sheetView topLeftCell="A75" zoomScale="75" workbookViewId="0">
      <selection activeCell="V100" sqref="V100"/>
    </sheetView>
  </sheetViews>
  <sheetFormatPr defaultRowHeight="14.25" outlineLevelRow="2"/>
  <cols>
    <col min="1" max="1" width="66.140625" style="195" customWidth="1"/>
    <col min="2" max="2" width="7.28515625" style="195" customWidth="1"/>
    <col min="3" max="4" width="13.85546875" style="195" customWidth="1"/>
    <col min="5" max="8" width="14" style="195" customWidth="1"/>
    <col min="9" max="9" width="14.85546875" style="195" customWidth="1"/>
    <col min="10" max="10" width="14.5703125" style="195" customWidth="1"/>
    <col min="11" max="11" width="15.5703125" style="195" customWidth="1"/>
    <col min="12" max="12" width="14.5703125" style="195" customWidth="1"/>
    <col min="13" max="14" width="13.7109375" style="195" customWidth="1"/>
    <col min="15" max="15" width="8.85546875" style="195" customWidth="1"/>
    <col min="16" max="16384" width="9.140625" style="195"/>
  </cols>
  <sheetData>
    <row r="1" spans="1:9" s="177" customFormat="1"/>
    <row r="2" spans="1:9" s="177" customFormat="1">
      <c r="A2" s="178" t="s">
        <v>230</v>
      </c>
      <c r="B2" s="179"/>
      <c r="C2" s="179"/>
      <c r="D2" s="179"/>
    </row>
    <row r="3" spans="1:9" s="177" customFormat="1">
      <c r="B3" s="180" t="s">
        <v>231</v>
      </c>
      <c r="C3" s="180"/>
      <c r="D3" s="180"/>
    </row>
    <row r="4" spans="1:9" s="177" customFormat="1"/>
    <row r="5" spans="1:9" s="177" customFormat="1">
      <c r="A5" s="181"/>
      <c r="B5" s="182"/>
      <c r="C5" s="183"/>
      <c r="D5" s="183"/>
      <c r="E5" s="183"/>
      <c r="F5" s="184"/>
    </row>
    <row r="6" spans="1:9" s="177" customFormat="1" ht="15.75">
      <c r="B6" s="185" t="s">
        <v>232</v>
      </c>
    </row>
    <row r="7" spans="1:9" s="177" customFormat="1" ht="15" thickBot="1">
      <c r="A7" s="186" t="s">
        <v>233</v>
      </c>
      <c r="B7" s="186"/>
      <c r="C7" s="187">
        <v>360</v>
      </c>
      <c r="D7" s="188">
        <v>360</v>
      </c>
      <c r="E7" s="187">
        <v>360</v>
      </c>
      <c r="F7" s="187">
        <v>360</v>
      </c>
      <c r="G7" s="187">
        <v>360</v>
      </c>
      <c r="H7" s="187">
        <v>360</v>
      </c>
      <c r="I7" s="187">
        <v>360</v>
      </c>
    </row>
    <row r="8" spans="1:9" s="177" customFormat="1" ht="26.25" thickTop="1">
      <c r="A8" s="189" t="s">
        <v>234</v>
      </c>
      <c r="B8" s="190" t="s">
        <v>235</v>
      </c>
      <c r="C8" s="191" t="s">
        <v>236</v>
      </c>
      <c r="D8" s="191" t="s">
        <v>237</v>
      </c>
      <c r="E8" s="191" t="s">
        <v>238</v>
      </c>
      <c r="F8" s="191" t="s">
        <v>238</v>
      </c>
      <c r="G8" s="191" t="s">
        <v>238</v>
      </c>
      <c r="H8" s="191" t="s">
        <v>238</v>
      </c>
      <c r="I8" s="191" t="s">
        <v>238</v>
      </c>
    </row>
    <row r="9" spans="1:9">
      <c r="A9" s="192"/>
      <c r="B9" s="193"/>
      <c r="C9" s="193"/>
      <c r="D9" s="193"/>
      <c r="E9" s="193"/>
      <c r="F9" s="193"/>
      <c r="G9" s="193"/>
      <c r="H9" s="193"/>
      <c r="I9" s="194"/>
    </row>
    <row r="10" spans="1:9" ht="15">
      <c r="A10" s="196" t="s">
        <v>239</v>
      </c>
      <c r="B10" s="193"/>
      <c r="I10" s="197"/>
    </row>
    <row r="11" spans="1:9" s="177" customFormat="1">
      <c r="A11" s="198" t="s">
        <v>240</v>
      </c>
      <c r="B11" s="199"/>
      <c r="I11" s="200"/>
    </row>
    <row r="12" spans="1:9" s="177" customFormat="1">
      <c r="A12" s="201" t="s">
        <v>241</v>
      </c>
      <c r="B12" s="202" t="s">
        <v>242</v>
      </c>
      <c r="C12" s="203">
        <v>0</v>
      </c>
      <c r="D12" s="203">
        <v>0</v>
      </c>
      <c r="E12" s="203">
        <v>0</v>
      </c>
      <c r="F12" s="203">
        <v>0</v>
      </c>
      <c r="G12" s="203">
        <v>0</v>
      </c>
      <c r="H12" s="203">
        <v>0</v>
      </c>
      <c r="I12" s="204">
        <v>0</v>
      </c>
    </row>
    <row r="13" spans="1:9" s="177" customFormat="1">
      <c r="A13" s="201" t="s">
        <v>243</v>
      </c>
      <c r="B13" s="202" t="s">
        <v>244</v>
      </c>
      <c r="C13" s="203">
        <v>0</v>
      </c>
      <c r="D13" s="203">
        <v>0</v>
      </c>
      <c r="E13" s="203">
        <v>0</v>
      </c>
      <c r="F13" s="203">
        <v>0</v>
      </c>
      <c r="G13" s="203">
        <v>0</v>
      </c>
      <c r="H13" s="203">
        <v>0</v>
      </c>
      <c r="I13" s="204">
        <v>0</v>
      </c>
    </row>
    <row r="14" spans="1:9" s="177" customFormat="1" ht="15">
      <c r="A14" s="205" t="s">
        <v>245</v>
      </c>
      <c r="B14" s="202" t="s">
        <v>246</v>
      </c>
      <c r="C14" s="206">
        <f t="shared" ref="C14:I14" si="0">C12-C13</f>
        <v>0</v>
      </c>
      <c r="D14" s="206">
        <f t="shared" si="0"/>
        <v>0</v>
      </c>
      <c r="E14" s="206">
        <f t="shared" si="0"/>
        <v>0</v>
      </c>
      <c r="F14" s="206">
        <f t="shared" si="0"/>
        <v>0</v>
      </c>
      <c r="G14" s="207">
        <f t="shared" si="0"/>
        <v>0</v>
      </c>
      <c r="H14" s="206">
        <f t="shared" si="0"/>
        <v>0</v>
      </c>
      <c r="I14" s="208">
        <f t="shared" si="0"/>
        <v>0</v>
      </c>
    </row>
    <row r="15" spans="1:9" s="177" customFormat="1">
      <c r="A15" s="198" t="s">
        <v>247</v>
      </c>
      <c r="B15" s="209"/>
      <c r="C15" s="210"/>
      <c r="D15" s="211"/>
      <c r="E15" s="211"/>
      <c r="I15" s="200"/>
    </row>
    <row r="16" spans="1:9" s="177" customFormat="1">
      <c r="A16" s="201" t="s">
        <v>248</v>
      </c>
      <c r="B16" s="202" t="s">
        <v>249</v>
      </c>
      <c r="C16" s="203">
        <v>0</v>
      </c>
      <c r="D16" s="203">
        <v>0</v>
      </c>
      <c r="E16" s="203">
        <v>0</v>
      </c>
      <c r="F16" s="203">
        <v>0</v>
      </c>
      <c r="G16" s="203">
        <v>0</v>
      </c>
      <c r="H16" s="203">
        <v>0</v>
      </c>
      <c r="I16" s="204">
        <v>0</v>
      </c>
    </row>
    <row r="17" spans="1:9" s="177" customFormat="1">
      <c r="A17" s="201" t="s">
        <v>250</v>
      </c>
      <c r="B17" s="202" t="s">
        <v>251</v>
      </c>
      <c r="C17" s="203">
        <v>0</v>
      </c>
      <c r="D17" s="203">
        <v>0</v>
      </c>
      <c r="E17" s="203">
        <v>0</v>
      </c>
      <c r="F17" s="203">
        <v>0</v>
      </c>
      <c r="G17" s="203">
        <v>0</v>
      </c>
      <c r="H17" s="203">
        <v>0</v>
      </c>
      <c r="I17" s="204">
        <v>0</v>
      </c>
    </row>
    <row r="18" spans="1:9" s="177" customFormat="1" ht="15">
      <c r="A18" s="205" t="s">
        <v>252</v>
      </c>
      <c r="B18" s="202" t="s">
        <v>253</v>
      </c>
      <c r="C18" s="206">
        <f t="shared" ref="C18:I18" si="1">C16-C17</f>
        <v>0</v>
      </c>
      <c r="D18" s="206">
        <f t="shared" si="1"/>
        <v>0</v>
      </c>
      <c r="E18" s="206">
        <f t="shared" si="1"/>
        <v>0</v>
      </c>
      <c r="F18" s="206">
        <f t="shared" si="1"/>
        <v>0</v>
      </c>
      <c r="G18" s="206">
        <f t="shared" si="1"/>
        <v>0</v>
      </c>
      <c r="H18" s="206">
        <f t="shared" si="1"/>
        <v>0</v>
      </c>
      <c r="I18" s="212">
        <f t="shared" si="1"/>
        <v>0</v>
      </c>
    </row>
    <row r="19" spans="1:9" s="177" customFormat="1">
      <c r="A19" s="201" t="s">
        <v>254</v>
      </c>
      <c r="B19" s="202" t="s">
        <v>255</v>
      </c>
      <c r="C19" s="203">
        <v>0</v>
      </c>
      <c r="D19" s="203">
        <v>0</v>
      </c>
      <c r="E19" s="203">
        <v>0</v>
      </c>
      <c r="F19" s="203">
        <v>0</v>
      </c>
      <c r="G19" s="203">
        <v>0</v>
      </c>
      <c r="H19" s="203">
        <v>0</v>
      </c>
      <c r="I19" s="204">
        <v>0</v>
      </c>
    </row>
    <row r="20" spans="1:9" s="177" customFormat="1">
      <c r="A20" s="201" t="s">
        <v>256</v>
      </c>
      <c r="B20" s="202" t="s">
        <v>257</v>
      </c>
      <c r="C20" s="203">
        <v>0</v>
      </c>
      <c r="D20" s="203">
        <v>0</v>
      </c>
      <c r="E20" s="203">
        <v>0</v>
      </c>
      <c r="F20" s="203">
        <v>0</v>
      </c>
      <c r="G20" s="203">
        <v>0</v>
      </c>
      <c r="H20" s="203">
        <v>0</v>
      </c>
      <c r="I20" s="204">
        <v>0</v>
      </c>
    </row>
    <row r="21" spans="1:9" s="177" customFormat="1">
      <c r="A21" s="201" t="s">
        <v>258</v>
      </c>
      <c r="B21" s="202" t="s">
        <v>259</v>
      </c>
      <c r="C21" s="203">
        <v>0</v>
      </c>
      <c r="D21" s="203">
        <v>0</v>
      </c>
      <c r="E21" s="203">
        <v>0</v>
      </c>
      <c r="F21" s="203">
        <v>0</v>
      </c>
      <c r="G21" s="203">
        <v>0</v>
      </c>
      <c r="H21" s="203">
        <v>0</v>
      </c>
      <c r="I21" s="204">
        <v>0</v>
      </c>
    </row>
    <row r="22" spans="1:9" s="177" customFormat="1">
      <c r="A22" s="201" t="s">
        <v>260</v>
      </c>
      <c r="B22" s="202" t="s">
        <v>261</v>
      </c>
      <c r="C22" s="203">
        <v>0</v>
      </c>
      <c r="D22" s="203">
        <v>0</v>
      </c>
      <c r="E22" s="203">
        <v>0</v>
      </c>
      <c r="F22" s="203">
        <v>0</v>
      </c>
      <c r="G22" s="203">
        <v>0</v>
      </c>
      <c r="H22" s="203">
        <v>0</v>
      </c>
      <c r="I22" s="204">
        <v>0</v>
      </c>
    </row>
    <row r="23" spans="1:9" s="177" customFormat="1">
      <c r="A23" s="201" t="s">
        <v>262</v>
      </c>
      <c r="B23" s="202" t="s">
        <v>263</v>
      </c>
      <c r="C23" s="203">
        <v>0</v>
      </c>
      <c r="D23" s="203">
        <v>0</v>
      </c>
      <c r="E23" s="203">
        <v>0</v>
      </c>
      <c r="F23" s="203">
        <v>0</v>
      </c>
      <c r="G23" s="203">
        <v>0</v>
      </c>
      <c r="H23" s="203">
        <v>0</v>
      </c>
      <c r="I23" s="204">
        <v>0</v>
      </c>
    </row>
    <row r="24" spans="1:9" s="177" customFormat="1">
      <c r="A24" s="201" t="s">
        <v>264</v>
      </c>
      <c r="B24" s="202" t="s">
        <v>265</v>
      </c>
      <c r="C24" s="203">
        <v>0</v>
      </c>
      <c r="D24" s="203">
        <v>0</v>
      </c>
      <c r="E24" s="203">
        <v>0</v>
      </c>
      <c r="F24" s="203">
        <v>0</v>
      </c>
      <c r="G24" s="203">
        <v>0</v>
      </c>
      <c r="H24" s="203">
        <v>0</v>
      </c>
      <c r="I24" s="204">
        <v>0</v>
      </c>
    </row>
    <row r="25" spans="1:9" s="177" customFormat="1">
      <c r="A25" s="201" t="s">
        <v>266</v>
      </c>
      <c r="B25" s="202" t="s">
        <v>267</v>
      </c>
      <c r="C25" s="203">
        <v>0</v>
      </c>
      <c r="D25" s="203">
        <v>0</v>
      </c>
      <c r="E25" s="203">
        <v>0</v>
      </c>
      <c r="F25" s="203">
        <v>0</v>
      </c>
      <c r="G25" s="203">
        <v>0</v>
      </c>
      <c r="H25" s="203">
        <v>0</v>
      </c>
      <c r="I25" s="204">
        <v>0</v>
      </c>
    </row>
    <row r="26" spans="1:9" s="177" customFormat="1">
      <c r="A26" s="201" t="s">
        <v>268</v>
      </c>
      <c r="B26" s="202" t="s">
        <v>269</v>
      </c>
      <c r="C26" s="203">
        <v>0</v>
      </c>
      <c r="D26" s="203">
        <v>0</v>
      </c>
      <c r="E26" s="203">
        <v>0</v>
      </c>
      <c r="F26" s="203">
        <v>0</v>
      </c>
      <c r="G26" s="203">
        <v>0</v>
      </c>
      <c r="H26" s="203">
        <v>0</v>
      </c>
      <c r="I26" s="204">
        <v>0</v>
      </c>
    </row>
    <row r="27" spans="1:9" s="177" customFormat="1" ht="30">
      <c r="A27" s="213" t="s">
        <v>270</v>
      </c>
      <c r="B27" s="202" t="s">
        <v>271</v>
      </c>
      <c r="C27" s="214">
        <f t="shared" ref="C27:I27" si="2">C14+C18+C19+C20+C21+C22+C23+C24+C25+C26</f>
        <v>0</v>
      </c>
      <c r="D27" s="214">
        <f t="shared" si="2"/>
        <v>0</v>
      </c>
      <c r="E27" s="214">
        <f t="shared" si="2"/>
        <v>0</v>
      </c>
      <c r="F27" s="214">
        <f t="shared" si="2"/>
        <v>0</v>
      </c>
      <c r="G27" s="214">
        <f t="shared" si="2"/>
        <v>0</v>
      </c>
      <c r="H27" s="214">
        <f t="shared" si="2"/>
        <v>0</v>
      </c>
      <c r="I27" s="215">
        <f t="shared" si="2"/>
        <v>0</v>
      </c>
    </row>
    <row r="28" spans="1:9" s="177" customFormat="1">
      <c r="A28" s="216"/>
      <c r="B28" s="209"/>
      <c r="C28" s="211"/>
      <c r="D28" s="211"/>
      <c r="E28" s="211"/>
      <c r="I28" s="200"/>
    </row>
    <row r="29" spans="1:9" s="177" customFormat="1" ht="15">
      <c r="A29" s="217" t="s">
        <v>272</v>
      </c>
      <c r="B29" s="209"/>
      <c r="C29" s="211"/>
      <c r="D29" s="211"/>
      <c r="E29" s="211"/>
      <c r="I29" s="200"/>
    </row>
    <row r="30" spans="1:9" s="177" customFormat="1">
      <c r="A30" s="201" t="s">
        <v>273</v>
      </c>
      <c r="B30" s="202" t="s">
        <v>274</v>
      </c>
      <c r="C30" s="203">
        <v>0</v>
      </c>
      <c r="D30" s="203">
        <v>0</v>
      </c>
      <c r="E30" s="203">
        <v>0</v>
      </c>
      <c r="F30" s="203">
        <v>0</v>
      </c>
      <c r="G30" s="203">
        <v>0</v>
      </c>
      <c r="H30" s="203">
        <v>0</v>
      </c>
      <c r="I30" s="204">
        <v>0</v>
      </c>
    </row>
    <row r="31" spans="1:9" s="177" customFormat="1">
      <c r="A31" s="201" t="s">
        <v>275</v>
      </c>
      <c r="B31" s="202" t="s">
        <v>276</v>
      </c>
      <c r="C31" s="203">
        <v>0</v>
      </c>
      <c r="D31" s="203">
        <v>0</v>
      </c>
      <c r="E31" s="203">
        <v>0</v>
      </c>
      <c r="F31" s="203">
        <v>0</v>
      </c>
      <c r="G31" s="203">
        <v>0</v>
      </c>
      <c r="H31" s="203">
        <v>0</v>
      </c>
      <c r="I31" s="204">
        <v>0</v>
      </c>
    </row>
    <row r="32" spans="1:9" s="177" customFormat="1">
      <c r="A32" s="201" t="s">
        <v>277</v>
      </c>
      <c r="B32" s="202" t="s">
        <v>278</v>
      </c>
      <c r="C32" s="203">
        <v>0</v>
      </c>
      <c r="D32" s="203">
        <v>0</v>
      </c>
      <c r="E32" s="203">
        <v>0</v>
      </c>
      <c r="F32" s="203">
        <v>0</v>
      </c>
      <c r="G32" s="203">
        <v>0</v>
      </c>
      <c r="H32" s="203">
        <v>0</v>
      </c>
      <c r="I32" s="204">
        <v>0</v>
      </c>
    </row>
    <row r="33" spans="1:9" s="177" customFormat="1">
      <c r="A33" s="201" t="s">
        <v>279</v>
      </c>
      <c r="B33" s="202" t="s">
        <v>280</v>
      </c>
      <c r="C33" s="203">
        <v>0</v>
      </c>
      <c r="D33" s="203">
        <v>0</v>
      </c>
      <c r="E33" s="203">
        <v>0</v>
      </c>
      <c r="F33" s="203">
        <v>0</v>
      </c>
      <c r="G33" s="203">
        <v>0</v>
      </c>
      <c r="H33" s="203">
        <v>0</v>
      </c>
      <c r="I33" s="204">
        <v>0</v>
      </c>
    </row>
    <row r="34" spans="1:9" s="177" customFormat="1">
      <c r="A34" s="201" t="s">
        <v>281</v>
      </c>
      <c r="B34" s="202" t="s">
        <v>282</v>
      </c>
      <c r="C34" s="203">
        <v>0</v>
      </c>
      <c r="D34" s="203">
        <v>0</v>
      </c>
      <c r="E34" s="203">
        <v>0</v>
      </c>
      <c r="F34" s="203">
        <v>0</v>
      </c>
      <c r="G34" s="203">
        <v>0</v>
      </c>
      <c r="H34" s="203">
        <v>0</v>
      </c>
      <c r="I34" s="204">
        <v>0</v>
      </c>
    </row>
    <row r="35" spans="1:9" s="177" customFormat="1">
      <c r="A35" s="201" t="s">
        <v>283</v>
      </c>
      <c r="B35" s="202" t="s">
        <v>284</v>
      </c>
      <c r="C35" s="203">
        <v>0</v>
      </c>
      <c r="D35" s="203">
        <v>0</v>
      </c>
      <c r="E35" s="203">
        <v>0</v>
      </c>
      <c r="F35" s="203">
        <v>0</v>
      </c>
      <c r="G35" s="203">
        <v>0</v>
      </c>
      <c r="H35" s="203">
        <v>0</v>
      </c>
      <c r="I35" s="204">
        <v>0</v>
      </c>
    </row>
    <row r="36" spans="1:9" s="177" customFormat="1">
      <c r="A36" s="201" t="s">
        <v>285</v>
      </c>
      <c r="B36" s="202" t="s">
        <v>286</v>
      </c>
      <c r="C36" s="203">
        <v>0</v>
      </c>
      <c r="D36" s="203">
        <v>0</v>
      </c>
      <c r="E36" s="203">
        <v>0</v>
      </c>
      <c r="F36" s="203">
        <v>0</v>
      </c>
      <c r="G36" s="203">
        <v>0</v>
      </c>
      <c r="H36" s="203">
        <v>0</v>
      </c>
      <c r="I36" s="204">
        <v>0</v>
      </c>
    </row>
    <row r="37" spans="1:9" s="177" customFormat="1">
      <c r="A37" s="201" t="s">
        <v>287</v>
      </c>
      <c r="B37" s="202" t="s">
        <v>288</v>
      </c>
      <c r="C37" s="203">
        <v>0</v>
      </c>
      <c r="D37" s="203">
        <v>0</v>
      </c>
      <c r="E37" s="203">
        <v>0</v>
      </c>
      <c r="F37" s="203">
        <v>0</v>
      </c>
      <c r="G37" s="203">
        <v>0</v>
      </c>
      <c r="H37" s="203">
        <v>0</v>
      </c>
      <c r="I37" s="204">
        <v>0</v>
      </c>
    </row>
    <row r="38" spans="1:9" s="177" customFormat="1">
      <c r="A38" s="201" t="s">
        <v>289</v>
      </c>
      <c r="B38" s="202" t="s">
        <v>290</v>
      </c>
      <c r="C38" s="203">
        <v>0</v>
      </c>
      <c r="D38" s="203">
        <v>0</v>
      </c>
      <c r="E38" s="203">
        <v>0</v>
      </c>
      <c r="F38" s="203">
        <v>0</v>
      </c>
      <c r="G38" s="203">
        <v>0</v>
      </c>
      <c r="H38" s="203">
        <v>0</v>
      </c>
      <c r="I38" s="204">
        <v>0</v>
      </c>
    </row>
    <row r="39" spans="1:9" s="177" customFormat="1">
      <c r="A39" s="201" t="s">
        <v>291</v>
      </c>
      <c r="B39" s="202" t="s">
        <v>292</v>
      </c>
      <c r="C39" s="203">
        <v>0</v>
      </c>
      <c r="D39" s="203">
        <v>0</v>
      </c>
      <c r="E39" s="203">
        <v>0</v>
      </c>
      <c r="F39" s="203">
        <v>0</v>
      </c>
      <c r="G39" s="203">
        <v>0</v>
      </c>
      <c r="H39" s="203">
        <v>0</v>
      </c>
      <c r="I39" s="204">
        <v>0</v>
      </c>
    </row>
    <row r="40" spans="1:9" s="177" customFormat="1">
      <c r="A40" s="216"/>
      <c r="B40" s="218"/>
      <c r="C40" s="218"/>
      <c r="D40" s="218"/>
      <c r="E40" s="218"/>
      <c r="F40" s="218"/>
      <c r="G40" s="218"/>
      <c r="H40" s="218"/>
      <c r="I40" s="219"/>
    </row>
    <row r="41" spans="1:9" s="177" customFormat="1">
      <c r="A41" s="198" t="s">
        <v>293</v>
      </c>
      <c r="B41" s="209"/>
      <c r="C41" s="211"/>
      <c r="D41" s="211"/>
      <c r="I41" s="220"/>
    </row>
    <row r="42" spans="1:9" s="177" customFormat="1">
      <c r="A42" s="221" t="s">
        <v>294</v>
      </c>
      <c r="B42" s="202" t="s">
        <v>295</v>
      </c>
      <c r="C42" s="203">
        <v>0</v>
      </c>
      <c r="D42" s="203">
        <v>0</v>
      </c>
      <c r="E42" s="203">
        <v>0</v>
      </c>
      <c r="F42" s="203">
        <v>0</v>
      </c>
      <c r="G42" s="203">
        <v>0</v>
      </c>
      <c r="H42" s="203">
        <v>0</v>
      </c>
      <c r="I42" s="204">
        <v>0</v>
      </c>
    </row>
    <row r="43" spans="1:9" s="177" customFormat="1">
      <c r="A43" s="221" t="s">
        <v>296</v>
      </c>
      <c r="B43" s="202" t="s">
        <v>297</v>
      </c>
      <c r="C43" s="203">
        <v>0</v>
      </c>
      <c r="D43" s="203">
        <v>0</v>
      </c>
      <c r="E43" s="203">
        <v>0</v>
      </c>
      <c r="F43" s="203">
        <v>0</v>
      </c>
      <c r="G43" s="203">
        <v>0</v>
      </c>
      <c r="H43" s="203">
        <v>0</v>
      </c>
      <c r="I43" s="204">
        <v>0</v>
      </c>
    </row>
    <row r="44" spans="1:9" s="177" customFormat="1">
      <c r="A44" s="221" t="s">
        <v>298</v>
      </c>
      <c r="B44" s="202" t="s">
        <v>299</v>
      </c>
      <c r="C44" s="203">
        <v>0</v>
      </c>
      <c r="D44" s="203">
        <v>0</v>
      </c>
      <c r="E44" s="203">
        <v>0</v>
      </c>
      <c r="F44" s="203">
        <v>0</v>
      </c>
      <c r="G44" s="203">
        <v>0</v>
      </c>
      <c r="H44" s="203">
        <v>0</v>
      </c>
      <c r="I44" s="204">
        <v>0</v>
      </c>
    </row>
    <row r="45" spans="1:9" s="177" customFormat="1">
      <c r="A45" s="221" t="s">
        <v>300</v>
      </c>
      <c r="B45" s="202" t="s">
        <v>301</v>
      </c>
      <c r="C45" s="203">
        <v>0</v>
      </c>
      <c r="D45" s="203">
        <v>0</v>
      </c>
      <c r="E45" s="203">
        <v>0</v>
      </c>
      <c r="F45" s="203">
        <v>0</v>
      </c>
      <c r="G45" s="203">
        <v>0</v>
      </c>
      <c r="H45" s="203">
        <v>0</v>
      </c>
      <c r="I45" s="204">
        <v>0</v>
      </c>
    </row>
    <row r="46" spans="1:9" s="177" customFormat="1">
      <c r="A46" s="221" t="s">
        <v>302</v>
      </c>
      <c r="B46" s="202" t="s">
        <v>303</v>
      </c>
      <c r="C46" s="203">
        <v>0</v>
      </c>
      <c r="D46" s="203">
        <v>0</v>
      </c>
      <c r="E46" s="203">
        <v>0</v>
      </c>
      <c r="F46" s="203">
        <v>0</v>
      </c>
      <c r="G46" s="203">
        <v>0</v>
      </c>
      <c r="H46" s="203">
        <v>0</v>
      </c>
      <c r="I46" s="204">
        <v>0</v>
      </c>
    </row>
    <row r="47" spans="1:9" s="177" customFormat="1">
      <c r="A47" s="221" t="s">
        <v>304</v>
      </c>
      <c r="B47" s="202" t="s">
        <v>305</v>
      </c>
      <c r="C47" s="203">
        <v>0</v>
      </c>
      <c r="D47" s="203">
        <v>0</v>
      </c>
      <c r="E47" s="203">
        <v>0</v>
      </c>
      <c r="F47" s="203">
        <v>0</v>
      </c>
      <c r="G47" s="203">
        <v>0</v>
      </c>
      <c r="H47" s="203">
        <v>0</v>
      </c>
      <c r="I47" s="204">
        <v>0</v>
      </c>
    </row>
    <row r="48" spans="1:9" s="177" customFormat="1">
      <c r="A48" s="221" t="s">
        <v>306</v>
      </c>
      <c r="B48" s="202" t="s">
        <v>307</v>
      </c>
      <c r="C48" s="203">
        <v>0</v>
      </c>
      <c r="D48" s="203">
        <v>0</v>
      </c>
      <c r="E48" s="203">
        <v>0</v>
      </c>
      <c r="F48" s="203">
        <v>0</v>
      </c>
      <c r="G48" s="203">
        <v>0</v>
      </c>
      <c r="H48" s="203">
        <v>0</v>
      </c>
      <c r="I48" s="204">
        <v>0</v>
      </c>
    </row>
    <row r="49" spans="1:9" s="177" customFormat="1">
      <c r="A49" s="221" t="s">
        <v>308</v>
      </c>
      <c r="B49" s="202" t="s">
        <v>309</v>
      </c>
      <c r="C49" s="203">
        <v>0</v>
      </c>
      <c r="D49" s="203">
        <v>0</v>
      </c>
      <c r="E49" s="203">
        <v>0</v>
      </c>
      <c r="F49" s="203">
        <v>0</v>
      </c>
      <c r="G49" s="203">
        <v>0</v>
      </c>
      <c r="H49" s="203">
        <v>0</v>
      </c>
      <c r="I49" s="204">
        <v>0</v>
      </c>
    </row>
    <row r="50" spans="1:9" s="177" customFormat="1" ht="45">
      <c r="A50" s="222" t="s">
        <v>310</v>
      </c>
      <c r="B50" s="202" t="s">
        <v>311</v>
      </c>
      <c r="C50" s="223">
        <f t="shared" ref="C50:I50" si="3">C30+C31+C32+C33+C34+C35+C36+C37+C38+C39+C42+C43+C44+C45+C46+C47+C48+C49</f>
        <v>0</v>
      </c>
      <c r="D50" s="223">
        <f t="shared" si="3"/>
        <v>0</v>
      </c>
      <c r="E50" s="223">
        <f t="shared" si="3"/>
        <v>0</v>
      </c>
      <c r="F50" s="223">
        <f t="shared" si="3"/>
        <v>0</v>
      </c>
      <c r="G50" s="223">
        <f t="shared" si="3"/>
        <v>0</v>
      </c>
      <c r="H50" s="223">
        <f t="shared" si="3"/>
        <v>0</v>
      </c>
      <c r="I50" s="224">
        <f t="shared" si="3"/>
        <v>0</v>
      </c>
    </row>
    <row r="51" spans="1:9" s="177" customFormat="1" ht="15.75" thickBot="1">
      <c r="A51" s="225" t="s">
        <v>312</v>
      </c>
      <c r="B51" s="226" t="s">
        <v>313</v>
      </c>
      <c r="C51" s="227">
        <f t="shared" ref="C51:I51" si="4">C27+C50</f>
        <v>0</v>
      </c>
      <c r="D51" s="227">
        <f t="shared" si="4"/>
        <v>0</v>
      </c>
      <c r="E51" s="227">
        <f t="shared" si="4"/>
        <v>0</v>
      </c>
      <c r="F51" s="227">
        <f t="shared" si="4"/>
        <v>0</v>
      </c>
      <c r="G51" s="227">
        <f t="shared" si="4"/>
        <v>0</v>
      </c>
      <c r="H51" s="227">
        <f t="shared" si="4"/>
        <v>0</v>
      </c>
      <c r="I51" s="228">
        <f t="shared" si="4"/>
        <v>0</v>
      </c>
    </row>
    <row r="52" spans="1:9" s="177" customFormat="1" ht="15" thickTop="1">
      <c r="A52" s="229"/>
      <c r="B52" s="230"/>
    </row>
    <row r="53" spans="1:9" s="177" customFormat="1" ht="15" thickBot="1">
      <c r="A53" s="229"/>
      <c r="B53" s="230"/>
    </row>
    <row r="54" spans="1:9" s="177" customFormat="1" ht="26.25" thickTop="1">
      <c r="A54" s="231" t="s">
        <v>314</v>
      </c>
      <c r="B54" s="190" t="s">
        <v>235</v>
      </c>
      <c r="C54" s="190" t="str">
        <f t="shared" ref="C54:I54" si="5">C8</f>
        <v>На 1.01.2019г.</v>
      </c>
      <c r="D54" s="190" t="str">
        <f t="shared" si="5"/>
        <v>На 1.01.2020г.</v>
      </c>
      <c r="E54" s="190" t="str">
        <f t="shared" si="5"/>
        <v>На 1.01.2021г.</v>
      </c>
      <c r="F54" s="190" t="str">
        <f t="shared" si="5"/>
        <v>На 1.01.2021г.</v>
      </c>
      <c r="G54" s="190" t="str">
        <f t="shared" si="5"/>
        <v>На 1.01.2021г.</v>
      </c>
      <c r="H54" s="190" t="str">
        <f t="shared" si="5"/>
        <v>На 1.01.2021г.</v>
      </c>
      <c r="I54" s="232" t="str">
        <f t="shared" si="5"/>
        <v>На 1.01.2021г.</v>
      </c>
    </row>
    <row r="55" spans="1:9" s="177" customFormat="1" ht="15">
      <c r="A55" s="233" t="s">
        <v>315</v>
      </c>
      <c r="B55" s="209"/>
      <c r="I55" s="200"/>
    </row>
    <row r="56" spans="1:9" s="177" customFormat="1">
      <c r="A56" s="221" t="s">
        <v>316</v>
      </c>
      <c r="B56" s="202" t="s">
        <v>317</v>
      </c>
      <c r="C56" s="203">
        <v>0</v>
      </c>
      <c r="D56" s="203">
        <v>0</v>
      </c>
      <c r="E56" s="203">
        <v>0</v>
      </c>
      <c r="F56" s="203">
        <v>0</v>
      </c>
      <c r="G56" s="203">
        <v>0</v>
      </c>
      <c r="H56" s="203">
        <v>0</v>
      </c>
      <c r="I56" s="204">
        <v>0</v>
      </c>
    </row>
    <row r="57" spans="1:9" s="177" customFormat="1">
      <c r="A57" s="221" t="s">
        <v>318</v>
      </c>
      <c r="B57" s="202" t="s">
        <v>319</v>
      </c>
      <c r="C57" s="203">
        <v>0</v>
      </c>
      <c r="D57" s="203">
        <v>0</v>
      </c>
      <c r="E57" s="203">
        <v>0</v>
      </c>
      <c r="F57" s="203">
        <v>0</v>
      </c>
      <c r="G57" s="203">
        <v>0</v>
      </c>
      <c r="H57" s="203">
        <v>0</v>
      </c>
      <c r="I57" s="204">
        <v>0</v>
      </c>
    </row>
    <row r="58" spans="1:9" s="177" customFormat="1">
      <c r="A58" s="221" t="s">
        <v>320</v>
      </c>
      <c r="B58" s="202" t="s">
        <v>321</v>
      </c>
      <c r="C58" s="203">
        <v>0</v>
      </c>
      <c r="D58" s="203">
        <v>0</v>
      </c>
      <c r="E58" s="203">
        <v>0</v>
      </c>
      <c r="F58" s="203">
        <v>0</v>
      </c>
      <c r="G58" s="203">
        <v>0</v>
      </c>
      <c r="H58" s="203">
        <v>0</v>
      </c>
      <c r="I58" s="204">
        <v>0</v>
      </c>
    </row>
    <row r="59" spans="1:9" s="177" customFormat="1">
      <c r="A59" s="221" t="s">
        <v>322</v>
      </c>
      <c r="B59" s="202" t="s">
        <v>323</v>
      </c>
      <c r="C59" s="203">
        <v>0</v>
      </c>
      <c r="D59" s="203">
        <v>0</v>
      </c>
      <c r="E59" s="203">
        <v>0</v>
      </c>
      <c r="F59" s="203">
        <v>0</v>
      </c>
      <c r="G59" s="203">
        <v>0</v>
      </c>
      <c r="H59" s="203">
        <v>0</v>
      </c>
      <c r="I59" s="204">
        <v>0</v>
      </c>
    </row>
    <row r="60" spans="1:9" s="177" customFormat="1">
      <c r="A60" s="221" t="s">
        <v>324</v>
      </c>
      <c r="B60" s="202" t="s">
        <v>325</v>
      </c>
      <c r="C60" s="203">
        <v>0</v>
      </c>
      <c r="D60" s="203">
        <v>0</v>
      </c>
      <c r="E60" s="203">
        <v>0</v>
      </c>
      <c r="F60" s="203">
        <v>0</v>
      </c>
      <c r="G60" s="203">
        <v>0</v>
      </c>
      <c r="H60" s="203">
        <v>0</v>
      </c>
      <c r="I60" s="204">
        <v>0</v>
      </c>
    </row>
    <row r="61" spans="1:9" s="177" customFormat="1">
      <c r="A61" s="221" t="s">
        <v>326</v>
      </c>
      <c r="B61" s="202" t="s">
        <v>327</v>
      </c>
      <c r="C61" s="203">
        <v>0</v>
      </c>
      <c r="D61" s="203">
        <v>0</v>
      </c>
      <c r="E61" s="203">
        <v>0</v>
      </c>
      <c r="F61" s="203">
        <v>0</v>
      </c>
      <c r="G61" s="203">
        <v>0</v>
      </c>
      <c r="H61" s="203">
        <v>0</v>
      </c>
      <c r="I61" s="204">
        <v>0</v>
      </c>
    </row>
    <row r="62" spans="1:9" s="177" customFormat="1">
      <c r="A62" s="221" t="s">
        <v>328</v>
      </c>
      <c r="B62" s="202" t="s">
        <v>329</v>
      </c>
      <c r="C62" s="203">
        <v>0</v>
      </c>
      <c r="D62" s="203">
        <v>0</v>
      </c>
      <c r="E62" s="203">
        <v>0</v>
      </c>
      <c r="F62" s="203">
        <v>0</v>
      </c>
      <c r="G62" s="203">
        <v>0</v>
      </c>
      <c r="H62" s="203">
        <v>0</v>
      </c>
      <c r="I62" s="204">
        <v>0</v>
      </c>
    </row>
    <row r="63" spans="1:9" s="177" customFormat="1" ht="15">
      <c r="A63" s="222" t="s">
        <v>330</v>
      </c>
      <c r="B63" s="202" t="s">
        <v>331</v>
      </c>
      <c r="C63" s="234">
        <f t="shared" ref="C63:I63" si="6">C56+C57+C58+C59+C60+C61+C62</f>
        <v>0</v>
      </c>
      <c r="D63" s="234">
        <f t="shared" si="6"/>
        <v>0</v>
      </c>
      <c r="E63" s="234">
        <f t="shared" si="6"/>
        <v>0</v>
      </c>
      <c r="F63" s="234">
        <f t="shared" si="6"/>
        <v>0</v>
      </c>
      <c r="G63" s="234">
        <f t="shared" si="6"/>
        <v>0</v>
      </c>
      <c r="H63" s="234">
        <f t="shared" si="6"/>
        <v>0</v>
      </c>
      <c r="I63" s="235">
        <f t="shared" si="6"/>
        <v>0</v>
      </c>
    </row>
    <row r="64" spans="1:9" s="177" customFormat="1" ht="15">
      <c r="A64" s="236"/>
      <c r="B64" s="209"/>
      <c r="C64" s="211"/>
      <c r="D64" s="211"/>
      <c r="E64" s="211"/>
      <c r="F64" s="211"/>
      <c r="G64" s="211"/>
      <c r="H64" s="211"/>
      <c r="I64" s="237"/>
    </row>
    <row r="65" spans="1:9" s="177" customFormat="1" ht="15.75">
      <c r="A65" s="238" t="s">
        <v>332</v>
      </c>
      <c r="B65" s="209"/>
      <c r="C65" s="211"/>
      <c r="D65" s="211"/>
      <c r="E65" s="211"/>
      <c r="F65" s="211"/>
      <c r="G65" s="211"/>
      <c r="H65" s="211"/>
      <c r="I65" s="237"/>
    </row>
    <row r="66" spans="1:9" s="177" customFormat="1">
      <c r="A66" s="221" t="s">
        <v>333</v>
      </c>
      <c r="B66" s="202" t="s">
        <v>334</v>
      </c>
      <c r="C66" s="203">
        <v>0</v>
      </c>
      <c r="D66" s="203">
        <v>0</v>
      </c>
      <c r="E66" s="203">
        <v>0</v>
      </c>
      <c r="F66" s="203">
        <v>0</v>
      </c>
      <c r="G66" s="203">
        <v>0</v>
      </c>
      <c r="H66" s="203">
        <v>0</v>
      </c>
      <c r="I66" s="204">
        <v>0</v>
      </c>
    </row>
    <row r="67" spans="1:9" s="177" customFormat="1">
      <c r="A67" s="221" t="s">
        <v>335</v>
      </c>
      <c r="B67" s="202" t="s">
        <v>336</v>
      </c>
      <c r="C67" s="203">
        <v>0</v>
      </c>
      <c r="D67" s="203">
        <v>0</v>
      </c>
      <c r="E67" s="203">
        <v>0</v>
      </c>
      <c r="F67" s="203">
        <v>0</v>
      </c>
      <c r="G67" s="203">
        <v>0</v>
      </c>
      <c r="H67" s="203">
        <v>0</v>
      </c>
      <c r="I67" s="204">
        <v>0</v>
      </c>
    </row>
    <row r="68" spans="1:9" s="177" customFormat="1">
      <c r="A68" s="221" t="s">
        <v>337</v>
      </c>
      <c r="B68" s="202" t="s">
        <v>338</v>
      </c>
      <c r="C68" s="203">
        <v>0</v>
      </c>
      <c r="D68" s="203">
        <v>0</v>
      </c>
      <c r="E68" s="203">
        <v>0</v>
      </c>
      <c r="F68" s="203">
        <v>0</v>
      </c>
      <c r="G68" s="203">
        <v>0</v>
      </c>
      <c r="H68" s="203">
        <v>0</v>
      </c>
      <c r="I68" s="204">
        <v>0</v>
      </c>
    </row>
    <row r="69" spans="1:9" s="177" customFormat="1">
      <c r="A69" s="221" t="s">
        <v>339</v>
      </c>
      <c r="B69" s="202" t="s">
        <v>340</v>
      </c>
      <c r="C69" s="203">
        <v>0</v>
      </c>
      <c r="D69" s="203">
        <v>0</v>
      </c>
      <c r="E69" s="203">
        <v>0</v>
      </c>
      <c r="F69" s="203">
        <v>0</v>
      </c>
      <c r="G69" s="203">
        <v>0</v>
      </c>
      <c r="H69" s="203">
        <v>0</v>
      </c>
      <c r="I69" s="204">
        <v>0</v>
      </c>
    </row>
    <row r="70" spans="1:9" s="177" customFormat="1" ht="28.5">
      <c r="A70" s="239" t="s">
        <v>341</v>
      </c>
      <c r="B70" s="202" t="s">
        <v>342</v>
      </c>
      <c r="C70" s="203">
        <v>0</v>
      </c>
      <c r="D70" s="203">
        <v>0</v>
      </c>
      <c r="E70" s="203">
        <v>0</v>
      </c>
      <c r="F70" s="203">
        <v>0</v>
      </c>
      <c r="G70" s="203">
        <v>0</v>
      </c>
      <c r="H70" s="203">
        <v>0</v>
      </c>
      <c r="I70" s="204">
        <v>0</v>
      </c>
    </row>
    <row r="71" spans="1:9" s="177" customFormat="1">
      <c r="A71" s="240" t="s">
        <v>343</v>
      </c>
      <c r="B71" s="241"/>
      <c r="C71" s="242"/>
      <c r="D71" s="242"/>
      <c r="E71" s="242"/>
      <c r="F71" s="242"/>
      <c r="G71" s="243"/>
      <c r="H71" s="243"/>
      <c r="I71" s="244"/>
    </row>
    <row r="72" spans="1:9" s="177" customFormat="1">
      <c r="A72" s="221" t="s">
        <v>344</v>
      </c>
      <c r="B72" s="202" t="s">
        <v>345</v>
      </c>
      <c r="C72" s="203">
        <v>0</v>
      </c>
      <c r="D72" s="203">
        <v>0</v>
      </c>
      <c r="E72" s="203">
        <v>0</v>
      </c>
      <c r="F72" s="203">
        <v>0</v>
      </c>
      <c r="G72" s="203">
        <v>0</v>
      </c>
      <c r="H72" s="203">
        <v>0</v>
      </c>
      <c r="I72" s="204">
        <v>0</v>
      </c>
    </row>
    <row r="73" spans="1:9" s="177" customFormat="1">
      <c r="A73" s="221" t="s">
        <v>346</v>
      </c>
      <c r="B73" s="202" t="s">
        <v>347</v>
      </c>
      <c r="C73" s="203">
        <v>0</v>
      </c>
      <c r="D73" s="203">
        <v>0</v>
      </c>
      <c r="E73" s="203">
        <v>0</v>
      </c>
      <c r="F73" s="203">
        <v>0</v>
      </c>
      <c r="G73" s="203">
        <v>0</v>
      </c>
      <c r="H73" s="203">
        <v>0</v>
      </c>
      <c r="I73" s="204">
        <v>0</v>
      </c>
    </row>
    <row r="74" spans="1:9" s="177" customFormat="1">
      <c r="A74" s="221" t="s">
        <v>348</v>
      </c>
      <c r="B74" s="202" t="s">
        <v>349</v>
      </c>
      <c r="C74" s="203">
        <v>0</v>
      </c>
      <c r="D74" s="203">
        <v>0</v>
      </c>
      <c r="E74" s="203">
        <v>0</v>
      </c>
      <c r="F74" s="203">
        <v>0</v>
      </c>
      <c r="G74" s="203">
        <v>0</v>
      </c>
      <c r="H74" s="203">
        <v>0</v>
      </c>
      <c r="I74" s="204">
        <v>0</v>
      </c>
    </row>
    <row r="75" spans="1:9" s="177" customFormat="1" ht="28.5">
      <c r="A75" s="239" t="s">
        <v>350</v>
      </c>
      <c r="B75" s="202" t="s">
        <v>351</v>
      </c>
      <c r="C75" s="203">
        <v>0</v>
      </c>
      <c r="D75" s="203">
        <v>0</v>
      </c>
      <c r="E75" s="203">
        <v>0</v>
      </c>
      <c r="F75" s="203">
        <v>0</v>
      </c>
      <c r="G75" s="203">
        <v>0</v>
      </c>
      <c r="H75" s="203">
        <v>0</v>
      </c>
      <c r="I75" s="204">
        <v>0</v>
      </c>
    </row>
    <row r="76" spans="1:9" s="177" customFormat="1" ht="28.5">
      <c r="A76" s="239" t="s">
        <v>352</v>
      </c>
      <c r="B76" s="245">
        <v>490</v>
      </c>
      <c r="C76" s="203">
        <v>0</v>
      </c>
      <c r="D76" s="203">
        <v>0</v>
      </c>
      <c r="E76" s="203">
        <v>0</v>
      </c>
      <c r="F76" s="203">
        <v>0</v>
      </c>
      <c r="G76" s="203">
        <v>0</v>
      </c>
      <c r="H76" s="203">
        <v>0</v>
      </c>
      <c r="I76" s="204">
        <v>0</v>
      </c>
    </row>
    <row r="77" spans="1:9" s="177" customFormat="1">
      <c r="A77" s="221" t="s">
        <v>353</v>
      </c>
      <c r="B77" s="245">
        <v>500</v>
      </c>
      <c r="C77" s="203">
        <v>0</v>
      </c>
      <c r="D77" s="203">
        <v>0</v>
      </c>
      <c r="E77" s="203">
        <v>0</v>
      </c>
      <c r="F77" s="203">
        <v>0</v>
      </c>
      <c r="G77" s="203">
        <v>0</v>
      </c>
      <c r="H77" s="203">
        <v>0</v>
      </c>
      <c r="I77" s="204">
        <v>0</v>
      </c>
    </row>
    <row r="78" spans="1:9" s="177" customFormat="1">
      <c r="A78" s="221" t="s">
        <v>354</v>
      </c>
      <c r="B78" s="245">
        <v>510</v>
      </c>
      <c r="C78" s="203">
        <v>0</v>
      </c>
      <c r="D78" s="203">
        <v>0</v>
      </c>
      <c r="E78" s="203">
        <v>0</v>
      </c>
      <c r="F78" s="203">
        <v>0</v>
      </c>
      <c r="G78" s="203">
        <v>0</v>
      </c>
      <c r="H78" s="203">
        <v>0</v>
      </c>
      <c r="I78" s="204">
        <v>0</v>
      </c>
    </row>
    <row r="79" spans="1:9" s="177" customFormat="1">
      <c r="A79" s="221" t="s">
        <v>355</v>
      </c>
      <c r="B79" s="245">
        <v>520</v>
      </c>
      <c r="C79" s="203">
        <v>0</v>
      </c>
      <c r="D79" s="203">
        <v>0</v>
      </c>
      <c r="E79" s="203">
        <v>0</v>
      </c>
      <c r="F79" s="203">
        <v>0</v>
      </c>
      <c r="G79" s="203">
        <v>0</v>
      </c>
      <c r="H79" s="203">
        <v>0</v>
      </c>
      <c r="I79" s="204">
        <v>0</v>
      </c>
    </row>
    <row r="80" spans="1:9" s="177" customFormat="1">
      <c r="A80" s="221" t="s">
        <v>356</v>
      </c>
      <c r="B80" s="245">
        <v>530</v>
      </c>
      <c r="C80" s="203">
        <v>0</v>
      </c>
      <c r="D80" s="203">
        <v>0</v>
      </c>
      <c r="E80" s="203">
        <v>0</v>
      </c>
      <c r="F80" s="203">
        <v>0</v>
      </c>
      <c r="G80" s="203">
        <v>0</v>
      </c>
      <c r="H80" s="203">
        <v>0</v>
      </c>
      <c r="I80" s="204">
        <v>0</v>
      </c>
    </row>
    <row r="81" spans="1:18" s="177" customFormat="1" ht="45">
      <c r="A81" s="222" t="s">
        <v>357</v>
      </c>
      <c r="B81" s="246">
        <v>540</v>
      </c>
      <c r="C81" s="214">
        <f t="shared" ref="C81:I81" si="7">C66+C67+C68+C69+C70+C72+C73+C74+C75+C76+C77+C78+C79+C80</f>
        <v>0</v>
      </c>
      <c r="D81" s="214">
        <f t="shared" si="7"/>
        <v>0</v>
      </c>
      <c r="E81" s="214">
        <f t="shared" si="7"/>
        <v>0</v>
      </c>
      <c r="F81" s="214">
        <f t="shared" si="7"/>
        <v>0</v>
      </c>
      <c r="G81" s="214">
        <f t="shared" si="7"/>
        <v>0</v>
      </c>
      <c r="H81" s="214">
        <f t="shared" si="7"/>
        <v>0</v>
      </c>
      <c r="I81" s="215">
        <f t="shared" si="7"/>
        <v>0</v>
      </c>
    </row>
    <row r="82" spans="1:18" s="177" customFormat="1" ht="15.75" thickBot="1">
      <c r="A82" s="225" t="s">
        <v>358</v>
      </c>
      <c r="B82" s="247">
        <v>550</v>
      </c>
      <c r="C82" s="248">
        <f t="shared" ref="C82:I82" si="8">C63+C81</f>
        <v>0</v>
      </c>
      <c r="D82" s="248">
        <f t="shared" si="8"/>
        <v>0</v>
      </c>
      <c r="E82" s="248">
        <f t="shared" si="8"/>
        <v>0</v>
      </c>
      <c r="F82" s="248">
        <f t="shared" si="8"/>
        <v>0</v>
      </c>
      <c r="G82" s="248">
        <f t="shared" si="8"/>
        <v>0</v>
      </c>
      <c r="H82" s="248">
        <f t="shared" si="8"/>
        <v>0</v>
      </c>
      <c r="I82" s="249">
        <f t="shared" si="8"/>
        <v>0</v>
      </c>
    </row>
    <row r="83" spans="1:18" s="177" customFormat="1" ht="15.75" thickTop="1" thickBot="1">
      <c r="A83" s="229"/>
      <c r="C83" s="184"/>
      <c r="D83" s="184"/>
      <c r="E83" s="184"/>
    </row>
    <row r="84" spans="1:18" s="255" customFormat="1" ht="16.5" thickTop="1" thickBot="1">
      <c r="A84" s="250" t="s">
        <v>359</v>
      </c>
      <c r="B84" s="251"/>
      <c r="C84" s="252">
        <f t="shared" ref="C84:I84" si="9">C51-C82</f>
        <v>0</v>
      </c>
      <c r="D84" s="252">
        <f t="shared" si="9"/>
        <v>0</v>
      </c>
      <c r="E84" s="252">
        <f t="shared" si="9"/>
        <v>0</v>
      </c>
      <c r="F84" s="253">
        <f t="shared" si="9"/>
        <v>0</v>
      </c>
      <c r="G84" s="253">
        <f t="shared" si="9"/>
        <v>0</v>
      </c>
      <c r="H84" s="253">
        <f t="shared" si="9"/>
        <v>0</v>
      </c>
      <c r="I84" s="254">
        <f t="shared" si="9"/>
        <v>0</v>
      </c>
    </row>
    <row r="85" spans="1:18" ht="17.25" hidden="1" outlineLevel="1" thickTop="1" thickBot="1">
      <c r="B85" s="256" t="s">
        <v>360</v>
      </c>
    </row>
    <row r="86" spans="1:18" ht="16.5" hidden="1" outlineLevel="1" thickTop="1" thickBot="1">
      <c r="A86" s="257" t="s">
        <v>361</v>
      </c>
      <c r="B86" s="258" t="s">
        <v>362</v>
      </c>
      <c r="C86" s="259">
        <v>0</v>
      </c>
      <c r="D86" s="259">
        <v>0</v>
      </c>
      <c r="E86" s="259">
        <v>0</v>
      </c>
      <c r="F86" s="259">
        <v>0</v>
      </c>
      <c r="G86" s="259">
        <v>0</v>
      </c>
      <c r="H86" s="259">
        <v>0</v>
      </c>
      <c r="I86" s="259">
        <v>0</v>
      </c>
      <c r="J86" s="260"/>
      <c r="K86" s="260"/>
      <c r="L86" s="260"/>
      <c r="M86" s="260"/>
      <c r="N86" s="260"/>
      <c r="O86" s="260"/>
      <c r="P86" s="260"/>
      <c r="Q86" s="260"/>
      <c r="R86" s="260"/>
    </row>
    <row r="87" spans="1:18" ht="17.25" collapsed="1" thickTop="1" thickBot="1">
      <c r="B87" s="256" t="s">
        <v>363</v>
      </c>
    </row>
    <row r="88" spans="1:18" s="177" customFormat="1" ht="15" thickTop="1">
      <c r="A88" s="261"/>
      <c r="B88" s="262"/>
      <c r="C88" s="263" t="str">
        <f>C8</f>
        <v>На 1.01.2019г.</v>
      </c>
      <c r="D88" s="264"/>
      <c r="E88" s="265" t="str">
        <f>D8</f>
        <v>На 1.01.2020г.</v>
      </c>
      <c r="F88" s="266"/>
      <c r="G88" s="265" t="str">
        <f>E8</f>
        <v>На 1.01.2021г.</v>
      </c>
      <c r="H88" s="266"/>
      <c r="I88" s="265" t="str">
        <f>F8</f>
        <v>На 1.01.2021г.</v>
      </c>
      <c r="J88" s="266"/>
      <c r="K88" s="265" t="str">
        <f>G8</f>
        <v>На 1.01.2021г.</v>
      </c>
      <c r="L88" s="266"/>
      <c r="M88" s="265" t="str">
        <f>H8</f>
        <v>На 1.01.2021г.</v>
      </c>
      <c r="N88" s="266"/>
      <c r="O88" s="265" t="str">
        <f>I8</f>
        <v>На 1.01.2021г.</v>
      </c>
      <c r="P88" s="266"/>
    </row>
    <row r="89" spans="1:18" s="177" customFormat="1">
      <c r="A89" s="267"/>
      <c r="B89" s="268"/>
      <c r="C89" s="269" t="s">
        <v>364</v>
      </c>
      <c r="D89" s="270" t="s">
        <v>365</v>
      </c>
      <c r="E89" s="269" t="s">
        <v>364</v>
      </c>
      <c r="F89" s="270" t="s">
        <v>365</v>
      </c>
      <c r="G89" s="269" t="s">
        <v>364</v>
      </c>
      <c r="H89" s="270" t="s">
        <v>365</v>
      </c>
      <c r="I89" s="269" t="s">
        <v>364</v>
      </c>
      <c r="J89" s="270" t="s">
        <v>365</v>
      </c>
      <c r="K89" s="269" t="s">
        <v>364</v>
      </c>
      <c r="L89" s="270" t="s">
        <v>365</v>
      </c>
      <c r="M89" s="269" t="s">
        <v>364</v>
      </c>
      <c r="N89" s="270" t="s">
        <v>365</v>
      </c>
      <c r="O89" s="269" t="s">
        <v>364</v>
      </c>
      <c r="P89" s="270" t="s">
        <v>365</v>
      </c>
    </row>
    <row r="90" spans="1:18" s="177" customFormat="1">
      <c r="A90" s="221" t="s">
        <v>366</v>
      </c>
      <c r="B90" s="271">
        <v>10</v>
      </c>
      <c r="C90" s="272">
        <v>0</v>
      </c>
      <c r="D90" s="273" t="s">
        <v>367</v>
      </c>
      <c r="E90" s="272">
        <v>0</v>
      </c>
      <c r="F90" s="273" t="s">
        <v>367</v>
      </c>
      <c r="G90" s="272">
        <v>0</v>
      </c>
      <c r="H90" s="273" t="s">
        <v>367</v>
      </c>
      <c r="I90" s="272">
        <v>0</v>
      </c>
      <c r="J90" s="273" t="s">
        <v>367</v>
      </c>
      <c r="K90" s="272">
        <v>0</v>
      </c>
      <c r="L90" s="273" t="s">
        <v>367</v>
      </c>
      <c r="M90" s="272">
        <v>0</v>
      </c>
      <c r="N90" s="273" t="s">
        <v>367</v>
      </c>
      <c r="O90" s="272">
        <v>0</v>
      </c>
      <c r="P90" s="273" t="s">
        <v>367</v>
      </c>
    </row>
    <row r="91" spans="1:18" s="177" customFormat="1">
      <c r="A91" s="221" t="s">
        <v>368</v>
      </c>
      <c r="B91" s="245">
        <v>20</v>
      </c>
      <c r="C91" s="274" t="s">
        <v>367</v>
      </c>
      <c r="D91" s="204">
        <v>0</v>
      </c>
      <c r="E91" s="274" t="s">
        <v>367</v>
      </c>
      <c r="F91" s="272">
        <v>0</v>
      </c>
      <c r="G91" s="274" t="s">
        <v>367</v>
      </c>
      <c r="H91" s="204">
        <v>0</v>
      </c>
      <c r="I91" s="274" t="s">
        <v>367</v>
      </c>
      <c r="J91" s="204">
        <v>0</v>
      </c>
      <c r="K91" s="274" t="s">
        <v>367</v>
      </c>
      <c r="L91" s="204">
        <v>0</v>
      </c>
      <c r="M91" s="274" t="s">
        <v>367</v>
      </c>
      <c r="N91" s="204">
        <v>0</v>
      </c>
      <c r="O91" s="274" t="s">
        <v>367</v>
      </c>
      <c r="P91" s="204">
        <v>0</v>
      </c>
    </row>
    <row r="92" spans="1:18" s="177" customFormat="1">
      <c r="A92" s="221" t="s">
        <v>369</v>
      </c>
      <c r="B92" s="245">
        <v>30</v>
      </c>
      <c r="C92" s="274" t="s">
        <v>367</v>
      </c>
      <c r="D92" s="204">
        <v>0</v>
      </c>
      <c r="E92" s="274" t="s">
        <v>367</v>
      </c>
      <c r="F92" s="272">
        <v>0</v>
      </c>
      <c r="G92" s="274" t="s">
        <v>367</v>
      </c>
      <c r="H92" s="204">
        <v>0</v>
      </c>
      <c r="I92" s="274" t="s">
        <v>367</v>
      </c>
      <c r="J92" s="204">
        <v>0</v>
      </c>
      <c r="K92" s="274" t="s">
        <v>367</v>
      </c>
      <c r="L92" s="204">
        <v>0</v>
      </c>
      <c r="M92" s="274" t="s">
        <v>367</v>
      </c>
      <c r="N92" s="204">
        <v>0</v>
      </c>
      <c r="O92" s="274" t="s">
        <v>367</v>
      </c>
      <c r="P92" s="204">
        <v>0</v>
      </c>
    </row>
    <row r="93" spans="1:18" s="177" customFormat="1">
      <c r="A93" s="221"/>
      <c r="B93" s="245">
        <v>40</v>
      </c>
      <c r="C93" s="274" t="s">
        <v>367</v>
      </c>
      <c r="D93" s="204">
        <v>0</v>
      </c>
      <c r="E93" s="274" t="s">
        <v>367</v>
      </c>
      <c r="F93" s="272">
        <v>0</v>
      </c>
      <c r="G93" s="274" t="s">
        <v>367</v>
      </c>
      <c r="H93" s="204">
        <v>0</v>
      </c>
      <c r="I93" s="274" t="s">
        <v>367</v>
      </c>
      <c r="J93" s="204">
        <v>0</v>
      </c>
      <c r="K93" s="274" t="s">
        <v>367</v>
      </c>
      <c r="L93" s="204">
        <v>0</v>
      </c>
      <c r="M93" s="274" t="s">
        <v>367</v>
      </c>
      <c r="N93" s="204">
        <v>0</v>
      </c>
      <c r="O93" s="274" t="s">
        <v>367</v>
      </c>
      <c r="P93" s="204">
        <v>0</v>
      </c>
    </row>
    <row r="94" spans="1:18" s="177" customFormat="1" ht="15">
      <c r="A94" s="275" t="s">
        <v>370</v>
      </c>
      <c r="B94" s="245">
        <v>50</v>
      </c>
      <c r="C94" s="276">
        <f>C90-SUM(D91:D93)</f>
        <v>0</v>
      </c>
      <c r="D94" s="212" t="s">
        <v>367</v>
      </c>
      <c r="E94" s="276">
        <f>E90-SUM(F91:F93)</f>
        <v>0</v>
      </c>
      <c r="F94" s="212" t="s">
        <v>367</v>
      </c>
      <c r="G94" s="276">
        <f>G90-SUM(H91:H93)</f>
        <v>0</v>
      </c>
      <c r="H94" s="212" t="s">
        <v>367</v>
      </c>
      <c r="I94" s="276">
        <f>I90-SUM(J91:J93)</f>
        <v>0</v>
      </c>
      <c r="J94" s="212" t="s">
        <v>367</v>
      </c>
      <c r="K94" s="276">
        <f>K90-SUM(L91:L93)</f>
        <v>0</v>
      </c>
      <c r="L94" s="212" t="s">
        <v>367</v>
      </c>
      <c r="M94" s="276">
        <f>M90-SUM(N91:N93)</f>
        <v>0</v>
      </c>
      <c r="N94" s="212" t="s">
        <v>367</v>
      </c>
      <c r="O94" s="276">
        <f>O90-SUM(P91:P93)</f>
        <v>0</v>
      </c>
      <c r="P94" s="212" t="s">
        <v>367</v>
      </c>
    </row>
    <row r="95" spans="1:18" s="177" customFormat="1" ht="28.5">
      <c r="A95" s="277" t="s">
        <v>371</v>
      </c>
      <c r="B95" s="245">
        <v>60</v>
      </c>
      <c r="C95" s="278" t="s">
        <v>367</v>
      </c>
      <c r="D95" s="279">
        <v>0</v>
      </c>
      <c r="E95" s="278" t="s">
        <v>367</v>
      </c>
      <c r="F95" s="279">
        <v>0</v>
      </c>
      <c r="G95" s="278" t="s">
        <v>367</v>
      </c>
      <c r="H95" s="279">
        <v>0</v>
      </c>
      <c r="I95" s="278" t="s">
        <v>367</v>
      </c>
      <c r="J95" s="279">
        <v>0</v>
      </c>
      <c r="K95" s="278" t="s">
        <v>367</v>
      </c>
      <c r="L95" s="279">
        <v>0</v>
      </c>
      <c r="M95" s="278" t="s">
        <v>367</v>
      </c>
      <c r="N95" s="204">
        <v>0</v>
      </c>
      <c r="O95" s="278" t="s">
        <v>367</v>
      </c>
      <c r="P95" s="204">
        <v>0</v>
      </c>
    </row>
    <row r="96" spans="1:18" s="177" customFormat="1" ht="15">
      <c r="A96" s="275" t="s">
        <v>372</v>
      </c>
      <c r="B96" s="245">
        <v>70</v>
      </c>
      <c r="C96" s="276">
        <f>IF((C94-D95)&gt;0,C94-D95,0)</f>
        <v>0</v>
      </c>
      <c r="D96" s="280">
        <f>IF((C94-D95)&lt;0,-(C94-D95),0)</f>
        <v>0</v>
      </c>
      <c r="E96" s="276">
        <f>IF((E94-F95)&gt;0,E94-F95,0)</f>
        <v>0</v>
      </c>
      <c r="F96" s="280">
        <f>IF((E94-F95)&lt;0,-(E94-F95),0)</f>
        <v>0</v>
      </c>
      <c r="G96" s="276">
        <f>IF((G94-H95)&gt;0,G94-H95,0)</f>
        <v>0</v>
      </c>
      <c r="H96" s="280">
        <f>IF((G94-H95)&lt;0,-(G94-H95),0)</f>
        <v>0</v>
      </c>
      <c r="I96" s="276">
        <f>IF((I94-J95)&gt;0,I94-J95,0)</f>
        <v>0</v>
      </c>
      <c r="J96" s="280">
        <f>IF((I94-J95)&lt;0,-(I94-J95),0)</f>
        <v>0</v>
      </c>
      <c r="K96" s="276">
        <f>IF((K94-L95)&gt;0,K94-L95,0)</f>
        <v>0</v>
      </c>
      <c r="L96" s="280">
        <f>IF((K94-L95)&lt;0,-(K94-L95),0)</f>
        <v>0</v>
      </c>
      <c r="M96" s="276">
        <f>IF((M94-N95)&gt;0,M94-N95,0)</f>
        <v>0</v>
      </c>
      <c r="N96" s="280">
        <f>IF((M94-N95)&lt;0,-(M94-N95),0)</f>
        <v>0</v>
      </c>
      <c r="O96" s="276">
        <f>IF((O94-P95)&gt;0,O94-P95,0)</f>
        <v>0</v>
      </c>
      <c r="P96" s="280">
        <f>IF((O94-P95)&lt;0,-(O94-P95),0)</f>
        <v>0</v>
      </c>
    </row>
    <row r="97" spans="1:16" s="177" customFormat="1">
      <c r="A97" s="221" t="s">
        <v>11</v>
      </c>
      <c r="B97" s="281">
        <v>80</v>
      </c>
      <c r="C97" s="278" t="s">
        <v>367</v>
      </c>
      <c r="D97" s="204">
        <v>0</v>
      </c>
      <c r="E97" s="278" t="s">
        <v>367</v>
      </c>
      <c r="F97" s="204">
        <v>0</v>
      </c>
      <c r="G97" s="278" t="s">
        <v>367</v>
      </c>
      <c r="H97" s="204">
        <v>0</v>
      </c>
      <c r="I97" s="278" t="s">
        <v>367</v>
      </c>
      <c r="J97" s="204">
        <v>0</v>
      </c>
      <c r="K97" s="278" t="s">
        <v>367</v>
      </c>
      <c r="L97" s="204">
        <v>0</v>
      </c>
      <c r="M97" s="278" t="s">
        <v>367</v>
      </c>
      <c r="N97" s="204">
        <v>0</v>
      </c>
      <c r="O97" s="278" t="s">
        <v>367</v>
      </c>
      <c r="P97" s="204">
        <v>0</v>
      </c>
    </row>
    <row r="98" spans="1:16" s="177" customFormat="1">
      <c r="A98" s="221" t="s">
        <v>373</v>
      </c>
      <c r="B98" s="281">
        <v>90</v>
      </c>
      <c r="C98" s="278" t="s">
        <v>367</v>
      </c>
      <c r="D98" s="204">
        <v>0</v>
      </c>
      <c r="E98" s="278" t="s">
        <v>367</v>
      </c>
      <c r="F98" s="204">
        <v>0</v>
      </c>
      <c r="G98" s="278" t="s">
        <v>367</v>
      </c>
      <c r="H98" s="204">
        <v>0</v>
      </c>
      <c r="I98" s="278" t="s">
        <v>367</v>
      </c>
      <c r="J98" s="204">
        <v>0</v>
      </c>
      <c r="K98" s="278" t="s">
        <v>367</v>
      </c>
      <c r="L98" s="204">
        <v>0</v>
      </c>
      <c r="M98" s="278" t="s">
        <v>367</v>
      </c>
      <c r="N98" s="204">
        <v>0</v>
      </c>
      <c r="O98" s="278" t="s">
        <v>367</v>
      </c>
      <c r="P98" s="204">
        <v>0</v>
      </c>
    </row>
    <row r="99" spans="1:16" s="177" customFormat="1" ht="28.5">
      <c r="A99" s="277" t="s">
        <v>374</v>
      </c>
      <c r="B99" s="281">
        <v>100</v>
      </c>
      <c r="C99" s="204">
        <v>0</v>
      </c>
      <c r="D99" s="204">
        <v>0</v>
      </c>
      <c r="E99" s="204">
        <v>0</v>
      </c>
      <c r="F99" s="204">
        <v>0</v>
      </c>
      <c r="G99" s="204">
        <v>0</v>
      </c>
      <c r="H99" s="204">
        <v>0</v>
      </c>
      <c r="I99" s="282">
        <v>0</v>
      </c>
      <c r="J99" s="204">
        <v>0</v>
      </c>
      <c r="K99" s="282">
        <v>0</v>
      </c>
      <c r="L99" s="204">
        <v>0</v>
      </c>
      <c r="M99" s="282">
        <v>0</v>
      </c>
      <c r="N99" s="204">
        <v>0</v>
      </c>
      <c r="O99" s="282">
        <v>0</v>
      </c>
      <c r="P99" s="204">
        <v>0</v>
      </c>
    </row>
    <row r="100" spans="1:16" s="177" customFormat="1" ht="28.5">
      <c r="A100" s="277" t="s">
        <v>375</v>
      </c>
      <c r="B100" s="245">
        <v>110</v>
      </c>
      <c r="C100" s="276">
        <f>IF(IF(C96&gt;0,C96+C99-D97-D98-D99&gt;0,0),C96+C99-D97-D98-D99,IF(D96-C99+D97+D98+D99&lt;0,-(D96-C99+D97+D98+D99),0))</f>
        <v>0</v>
      </c>
      <c r="D100" s="280">
        <f>IF(IF(D96&gt;0,D96-C99+D97+D98+D99&gt;0,0),D96-C99+D97+D98+D99,IF(C96+C99-D97-D98-D99&lt;0,-(C96+C99-D97-D98-D99),0))</f>
        <v>0</v>
      </c>
      <c r="E100" s="276">
        <f>IF(IF(E96&gt;0,E96+E99-F97-F98-F99&gt;0,0),E96+E99-F97-F98-F99,IF(F96-E99+F97+F98+F99&lt;0,-(F96-E99+F97+F98+F99),0))</f>
        <v>0</v>
      </c>
      <c r="F100" s="280">
        <f>IF(IF(F96&gt;0,F96-E99+F97+F98+F99&gt;0,0),F96-E99+F97+F98+F99,IF(E96+E99-F97-F98-F99&lt;0,-(E96+E99-F97-F98-F99),0))</f>
        <v>0</v>
      </c>
      <c r="G100" s="276">
        <f>IF(IF(G96&gt;0,G96+G99-H97-H98-H99&gt;0,0),G96+G99-H97-H98-H99,IF(H96-G99+H97+H98+H99&lt;0,-(H96-G99+H97+H98+H99),0))</f>
        <v>0</v>
      </c>
      <c r="H100" s="280">
        <f>IF(IF(H96&gt;0,H96-G99+H97+H98+H99&gt;0,0),H96-G99+H97+H98+H99,IF(G96+G99-H97-H98-H99&lt;0,-(G96+G99-H97-H98-H99),0))</f>
        <v>0</v>
      </c>
      <c r="I100" s="276">
        <f>IF(IF(I96&gt;0,I96+I99-J97-J98-J99&gt;0,0),I96+I99-J97-J98-J99,IF(J96-I99+J97+J98+J99&lt;0,-(J96-I99+J97+J98+J99),0))</f>
        <v>0</v>
      </c>
      <c r="J100" s="280">
        <f>IF(IF(J96&gt;0,J96-I99+J97+J98+J99&gt;0,0),J96-I99+J97+J98+J99,IF(I96+I99-J97-J98-J99&lt;0,-(I96+I99-J97-J98-J99),0))</f>
        <v>0</v>
      </c>
      <c r="K100" s="276">
        <f>IF(IF(K96&gt;0,K96+K99-L97-L98-L99&gt;0,0),K96+K99-L97-L98-L99,IF(L96-K99+L97+L98+L99&lt;0,-(L96-K99+L97+L98+L99),0))</f>
        <v>0</v>
      </c>
      <c r="L100" s="280">
        <f>IF(IF(L96&gt;0,L96-K99+L97+L98+L99&gt;0,0),L96-K99+L97+L98+L99,IF(K96+K99-L97-L98-L99&lt;0,-(K96+K99-L97-L98-L99),0))</f>
        <v>0</v>
      </c>
      <c r="M100" s="276">
        <f>IF(IF(M96&gt;0,M96+M99-N97-N98-N99&gt;0,0),M96+M99-N97-N98-N99,IF(N96-M99+N97+N98+N99&lt;0,-(N96-M99+N97+N98+N99),0))</f>
        <v>0</v>
      </c>
      <c r="N100" s="280">
        <f>IF(IF(N96&gt;0,N96-M99+N97+N98+N99&gt;0,0),N96-M99+N97+N98+N99,IF(M96+M99-N97-N98-N99&lt;0,-(M96+M99-N97-N98-N99),0))</f>
        <v>0</v>
      </c>
      <c r="O100" s="276">
        <f>IF(IF(O96&gt;0,O96+O99-P97-P98-P99&gt;0,0),O96+O99-P97-P98-P99,IF(P96-O99+P97+P98+P99&lt;0,-(P96-O99+P97+P98+P99),0))</f>
        <v>0</v>
      </c>
      <c r="P100" s="280">
        <f>IF(IF(P96&gt;0,P96-O99+P97+P98+P99&gt;0,0),P96-O99+P97+P98+P99,IF(O96+O99-P97-P98-P99&lt;0,-(O96+O99-P97-P98-P99),0))</f>
        <v>0</v>
      </c>
    </row>
    <row r="101" spans="1:16" s="177" customFormat="1" ht="28.5">
      <c r="A101" s="277" t="s">
        <v>376</v>
      </c>
      <c r="B101" s="245">
        <v>120</v>
      </c>
      <c r="C101" s="282">
        <v>0</v>
      </c>
      <c r="D101" s="283" t="s">
        <v>367</v>
      </c>
      <c r="E101" s="282">
        <v>0</v>
      </c>
      <c r="F101" s="283" t="s">
        <v>367</v>
      </c>
      <c r="G101" s="282">
        <v>0</v>
      </c>
      <c r="H101" s="283" t="s">
        <v>367</v>
      </c>
      <c r="I101" s="282">
        <v>0</v>
      </c>
      <c r="J101" s="283" t="s">
        <v>367</v>
      </c>
      <c r="K101" s="282">
        <v>0</v>
      </c>
      <c r="L101" s="283" t="s">
        <v>367</v>
      </c>
      <c r="M101" s="282">
        <v>0</v>
      </c>
      <c r="N101" s="283" t="s">
        <v>367</v>
      </c>
      <c r="O101" s="282">
        <v>0</v>
      </c>
      <c r="P101" s="283" t="s">
        <v>367</v>
      </c>
    </row>
    <row r="102" spans="1:16" s="177" customFormat="1">
      <c r="A102" s="221" t="s">
        <v>377</v>
      </c>
      <c r="B102" s="245">
        <v>125</v>
      </c>
      <c r="C102" s="282">
        <v>0</v>
      </c>
      <c r="D102" s="283" t="s">
        <v>367</v>
      </c>
      <c r="E102" s="282">
        <v>0</v>
      </c>
      <c r="F102" s="283" t="s">
        <v>367</v>
      </c>
      <c r="G102" s="282">
        <v>0</v>
      </c>
      <c r="H102" s="283" t="s">
        <v>367</v>
      </c>
      <c r="I102" s="282">
        <v>0</v>
      </c>
      <c r="J102" s="283" t="s">
        <v>367</v>
      </c>
      <c r="K102" s="282">
        <v>0</v>
      </c>
      <c r="L102" s="283" t="s">
        <v>367</v>
      </c>
      <c r="M102" s="282">
        <v>0</v>
      </c>
      <c r="N102" s="283" t="s">
        <v>367</v>
      </c>
      <c r="O102" s="282">
        <v>0</v>
      </c>
      <c r="P102" s="283" t="s">
        <v>367</v>
      </c>
    </row>
    <row r="103" spans="1:16" s="177" customFormat="1" ht="28.5">
      <c r="A103" s="277" t="s">
        <v>378</v>
      </c>
      <c r="B103" s="245">
        <v>130</v>
      </c>
      <c r="C103" s="282">
        <v>0</v>
      </c>
      <c r="D103" s="282">
        <v>0</v>
      </c>
      <c r="E103" s="282">
        <v>0</v>
      </c>
      <c r="F103" s="282">
        <v>0</v>
      </c>
      <c r="G103" s="282">
        <v>0</v>
      </c>
      <c r="H103" s="282">
        <v>0</v>
      </c>
      <c r="I103" s="282">
        <v>0</v>
      </c>
      <c r="J103" s="204">
        <v>0</v>
      </c>
      <c r="K103" s="282">
        <v>0</v>
      </c>
      <c r="L103" s="204">
        <v>0</v>
      </c>
      <c r="M103" s="282">
        <v>0</v>
      </c>
      <c r="N103" s="204">
        <v>0</v>
      </c>
      <c r="O103" s="282">
        <v>0</v>
      </c>
      <c r="P103" s="204">
        <v>0</v>
      </c>
    </row>
    <row r="104" spans="1:16" s="177" customFormat="1">
      <c r="A104" s="221" t="s">
        <v>379</v>
      </c>
      <c r="B104" s="245">
        <v>135</v>
      </c>
      <c r="C104" s="282">
        <v>0</v>
      </c>
      <c r="D104" s="282">
        <v>0</v>
      </c>
      <c r="E104" s="282">
        <v>0</v>
      </c>
      <c r="F104" s="282">
        <v>0</v>
      </c>
      <c r="G104" s="282">
        <v>0</v>
      </c>
      <c r="H104" s="282">
        <v>0</v>
      </c>
      <c r="I104" s="282">
        <v>0</v>
      </c>
      <c r="J104" s="204">
        <v>0</v>
      </c>
      <c r="K104" s="282">
        <v>0</v>
      </c>
      <c r="L104" s="204">
        <v>0</v>
      </c>
      <c r="M104" s="282">
        <v>0</v>
      </c>
      <c r="N104" s="204">
        <v>0</v>
      </c>
      <c r="O104" s="282">
        <v>0</v>
      </c>
      <c r="P104" s="204">
        <v>0</v>
      </c>
    </row>
    <row r="105" spans="1:16" s="177" customFormat="1">
      <c r="A105" s="221" t="s">
        <v>380</v>
      </c>
      <c r="B105" s="245">
        <v>140</v>
      </c>
      <c r="C105" s="282">
        <v>0</v>
      </c>
      <c r="D105" s="282">
        <v>0</v>
      </c>
      <c r="E105" s="282">
        <v>0</v>
      </c>
      <c r="F105" s="282">
        <v>0</v>
      </c>
      <c r="G105" s="282">
        <v>0</v>
      </c>
      <c r="H105" s="282">
        <v>0</v>
      </c>
      <c r="I105" s="282">
        <v>0</v>
      </c>
      <c r="J105" s="204">
        <v>0</v>
      </c>
      <c r="K105" s="282">
        <v>0</v>
      </c>
      <c r="L105" s="204">
        <v>0</v>
      </c>
      <c r="M105" s="282">
        <v>0</v>
      </c>
      <c r="N105" s="204">
        <v>0</v>
      </c>
      <c r="O105" s="282">
        <v>0</v>
      </c>
      <c r="P105" s="204">
        <v>0</v>
      </c>
    </row>
    <row r="106" spans="1:16" s="177" customFormat="1">
      <c r="A106" s="221" t="s">
        <v>381</v>
      </c>
      <c r="B106" s="245">
        <v>145</v>
      </c>
      <c r="C106" s="282">
        <v>0</v>
      </c>
      <c r="D106" s="282">
        <v>0</v>
      </c>
      <c r="E106" s="282">
        <v>0</v>
      </c>
      <c r="F106" s="282">
        <v>0</v>
      </c>
      <c r="G106" s="282">
        <v>0</v>
      </c>
      <c r="H106" s="282">
        <v>0</v>
      </c>
      <c r="I106" s="282">
        <v>0</v>
      </c>
      <c r="J106" s="204">
        <v>0</v>
      </c>
      <c r="K106" s="282">
        <v>0</v>
      </c>
      <c r="L106" s="204">
        <v>0</v>
      </c>
      <c r="M106" s="282">
        <v>0</v>
      </c>
      <c r="N106" s="204">
        <v>0</v>
      </c>
      <c r="O106" s="282">
        <v>0</v>
      </c>
      <c r="P106" s="204">
        <v>0</v>
      </c>
    </row>
    <row r="107" spans="1:16" s="177" customFormat="1" ht="44.25">
      <c r="A107" s="284" t="s">
        <v>382</v>
      </c>
      <c r="B107" s="245">
        <v>150</v>
      </c>
      <c r="C107" s="276">
        <f>IF(IF(C100&gt;0,C100+SUM(C101:C106)-SUM(D103:D106)&gt;0,0),C100+SUM(C101:C106)-SUM(D103:D106),IF(D100-SUM(C101:C106)+SUM(D103:D106)&lt;0,-(D100-SUM(C101:C106)+SUM(D103:D106)),0))</f>
        <v>0</v>
      </c>
      <c r="D107" s="280">
        <f>IF(IF(D100&gt;0,D100-SUM(C101:C106)+SUM(D103:D106)&gt;0,0),D100-SUM(C101:C106)+SUM(D103:D106),IF(C100+SUM(C101:C106)-SUM(D103:D106)&lt;0,-(C100+SUM(C101:C106)-SUM(D103:D106)),0))</f>
        <v>0</v>
      </c>
      <c r="E107" s="276">
        <f>IF(IF(E100&gt;0,E100+SUM(E101:E106)-SUM(F103:F106)&gt;0,0),E100+SUM(E101:E106)-SUM(F103:F106),IF(F100-SUM(E101:E106)+SUM(F103:F106)&lt;0,-(F100-SUM(E101:E106)+SUM(F103:F106)),0))</f>
        <v>0</v>
      </c>
      <c r="F107" s="280">
        <f>IF(IF(F100&gt;0,F100-SUM(E101:E106)+SUM(F103:F106)&gt;0,0),F100-SUM(E101:E106)+SUM(F103:F106),IF(E100+SUM(E101:E106)-SUM(F103:F106)&lt;0,-(E100+SUM(E101:E106)-SUM(F103:F106)),0))</f>
        <v>0</v>
      </c>
      <c r="G107" s="276">
        <f>IF(IF(G100&gt;0,G100+SUM(G101:G106)-SUM(H103:H106)&gt;0,0),G100+SUM(G101:G106)-SUM(H103:H106),IF(H100-SUM(G101:G106)+SUM(H103:H106)&lt;0,-(H100-SUM(G101:G106)+SUM(H103:H106)),0))</f>
        <v>0</v>
      </c>
      <c r="H107" s="280">
        <f>IF(IF(H100&gt;0,H100-SUM(G101:G106)+SUM(H103:H106)&gt;0,0),H100-SUM(G101:G106)+SUM(H103:H106),IF(G100+SUM(G101:G106)-SUM(H103:H106)&lt;0,-(G100+SUM(G101:G106)-SUM(H103:H106)),0))</f>
        <v>0</v>
      </c>
      <c r="I107" s="276">
        <f>IF(IF(I100&gt;0,I100+SUM(I101:I106)-SUM(J103:J106)&gt;0,0),I100+SUM(I101:I106)-SUM(J103:J106),IF(J100-SUM(I101:I106)+SUM(J103:J106)&lt;0,-(J100-SUM(I101:I106)+SUM(J103:J106)),0))</f>
        <v>0</v>
      </c>
      <c r="J107" s="280">
        <f>IF(IF(J100&gt;0,J100-SUM(I101:I106)+SUM(J103:J106)&gt;0,0),J100-SUM(I101:I106)+SUM(J103:J106),IF(I100+SUM(I101:I106)-SUM(J103:J106)&lt;0,-(I100+SUM(I101:I106)-SUM(J103:J106)),0))</f>
        <v>0</v>
      </c>
      <c r="K107" s="276">
        <f>IF(IF(K100&gt;0,K100+SUM(K101:K106)-SUM(L103:L106)&gt;0,0),K100+SUM(K101:K106)-SUM(L103:L106),IF(L100-SUM(K101:K106)+SUM(L103:L106)&lt;0,-(L100-SUM(K101:K106)+SUM(L103:L106)),0))</f>
        <v>0</v>
      </c>
      <c r="L107" s="280">
        <f>IF(IF(L100&gt;0,L100-SUM(K101:K106)+SUM(L103:L106)&gt;0,0),L100-SUM(K101:K106)+SUM(L103:L106),IF(K100+SUM(K101:K106)-SUM(L103:L106)&lt;0,-(K100+SUM(K101:K106)-SUM(L103:L106)),0))</f>
        <v>0</v>
      </c>
      <c r="M107" s="276">
        <f>IF(IF(M100&gt;0,M100+SUM(M101:M106)-SUM(N103:N106)&gt;0,0),M100+SUM(M101:M106)-SUM(N103:N106),IF(N100-SUM(M101:M106)+SUM(N103:N106)&lt;0,-(N100-SUM(M101:M106)+SUM(N103:N106)),0))</f>
        <v>0</v>
      </c>
      <c r="N107" s="280">
        <f>IF(IF(N100&gt;0,N100-SUM(M101:M106)+SUM(N103:N106)&gt;0,0),N100-SUM(M101:M106)+SUM(N103:N106),IF(M100+SUM(M101:M106)-SUM(N103:N106)&lt;0,-(M100+SUM(M101:M106)-SUM(N103:N106)),0))</f>
        <v>0</v>
      </c>
      <c r="O107" s="276">
        <f>IF(IF(O100&gt;0,O100+SUM(O101:O106)-SUM(P103:P106)&gt;0,0),O100+SUM(O101:O106)-SUM(P103:P106),IF(P100-SUM(O101:O106)+SUM(P103:P106)&lt;0,-(P100-SUM(O101:O106)+SUM(P103:P106)),0))</f>
        <v>0</v>
      </c>
      <c r="P107" s="280">
        <f>IF(IF(P100&gt;0,P100-SUM(O101:O106)+SUM(P103:P106)&gt;0,0),P100-SUM(O101:O106)+SUM(P103:P106),IF(O100+SUM(O101:O106)-SUM(P103:P106)&lt;0,-(O100+SUM(O101:O106)-SUM(P103:P106)),0))</f>
        <v>0</v>
      </c>
    </row>
    <row r="108" spans="1:16" s="177" customFormat="1">
      <c r="A108" s="221" t="s">
        <v>383</v>
      </c>
      <c r="B108" s="245">
        <v>160</v>
      </c>
      <c r="C108" s="282">
        <v>0</v>
      </c>
      <c r="D108" s="282">
        <v>0</v>
      </c>
      <c r="E108" s="282">
        <v>0</v>
      </c>
      <c r="F108" s="282">
        <v>0</v>
      </c>
      <c r="G108" s="282">
        <v>0</v>
      </c>
      <c r="H108" s="282">
        <v>0</v>
      </c>
      <c r="I108" s="282">
        <v>0</v>
      </c>
      <c r="J108" s="204">
        <v>0</v>
      </c>
      <c r="K108" s="282">
        <v>0</v>
      </c>
      <c r="L108" s="204">
        <v>0</v>
      </c>
      <c r="M108" s="282">
        <v>0</v>
      </c>
      <c r="N108" s="204">
        <v>0</v>
      </c>
      <c r="O108" s="282">
        <v>0</v>
      </c>
      <c r="P108" s="204">
        <v>0</v>
      </c>
    </row>
    <row r="109" spans="1:16" s="177" customFormat="1" ht="30">
      <c r="A109" s="284" t="s">
        <v>384</v>
      </c>
      <c r="B109" s="245">
        <v>170</v>
      </c>
      <c r="C109" s="276">
        <f>IF(IF(C107&gt;0,C107+C108-D108&gt;0,0),C107+C108-D108,IF(D107-C108+D108&lt;0,-(D107-C108+D108),0))</f>
        <v>0</v>
      </c>
      <c r="D109" s="280">
        <f>IF(IF(D107&gt;0,D107-C108+D108&gt;0,0),D107-C108+D108,IF(C107+C108-D108&lt;0,-(C107+C108-D108),0))</f>
        <v>0</v>
      </c>
      <c r="E109" s="276">
        <f>IF(IF(E107&gt;0,E107+E108-F108&gt;0,0),E107+E108-F108,IF(F107-E108+F108&lt;0,-(F107-E108+F108),0))</f>
        <v>0</v>
      </c>
      <c r="F109" s="280">
        <f>IF(IF(F107&gt;0,F107-E108+F108&gt;0,0),F107-E108+F108,IF(E107+E108-F108&lt;0,-(E107+E108-F108),0))</f>
        <v>0</v>
      </c>
      <c r="G109" s="276">
        <f>IF(IF(G107&gt;0,G107+G108-H108&gt;0,0),G107+G108-H108,IF(H107-G108+H108&lt;0,-(H107-G108+H108),0))</f>
        <v>0</v>
      </c>
      <c r="H109" s="280">
        <f>IF(IF(H107&gt;0,H107-G108+H108&gt;0,0),H107-G108+H108,IF(G107+G108-H108&lt;0,-(G107+G108-H108),0))</f>
        <v>0</v>
      </c>
      <c r="I109" s="276">
        <f>IF(IF(I107&gt;0,I107+I108-J108&gt;0,0),I107+I108-J108,IF(J107-I108+J108&lt;0,-(J107-I108+J108),0))</f>
        <v>0</v>
      </c>
      <c r="J109" s="280">
        <f>IF(IF(J107&gt;0,J107-I108+J108&gt;0,0),J107-I108+J108,IF(I107+I108-J108&lt;0,-(I107+I108-J108),0))</f>
        <v>0</v>
      </c>
      <c r="K109" s="276">
        <f>IF(IF(K107&gt;0,K107+K108-L108&gt;0,0),K107+K108-L108,IF(L107-K108+L108&lt;0,-(L107-K108+L108),0))</f>
        <v>0</v>
      </c>
      <c r="L109" s="280">
        <f>IF(IF(L107&gt;0,L107-K108+L108&gt;0,0),L107-K108+L108,IF(K107+K108-L108&lt;0,-(K107+K108-L108),0))</f>
        <v>0</v>
      </c>
      <c r="M109" s="276">
        <f>IF(IF(M107&gt;0,M107+M108-N108&gt;0,0),M107+M108-N108,IF(N107-M108+N108&lt;0,-(N107-M108+N108),0))</f>
        <v>0</v>
      </c>
      <c r="N109" s="280">
        <f>IF(IF(N107&gt;0,N107-M108+N108&gt;0,0),N107-M108+N108,IF(M107+M108-N108&lt;0,-(M107+M108-N108),0))</f>
        <v>0</v>
      </c>
      <c r="O109" s="276">
        <f>IF(IF(O107&gt;0,O107+O108-P108&gt;0,0),O107+O108-P108,IF(P107-O108+P108&lt;0,-(P107-O108+P108),0))</f>
        <v>0</v>
      </c>
      <c r="P109" s="280">
        <f>IF(IF(P107&gt;0,P107-O108+P108&gt;0,0),P107-O108+P108,IF(O107+O108-P108&lt;0,-(O107+O108-P108),0))</f>
        <v>0</v>
      </c>
    </row>
    <row r="110" spans="1:16" s="177" customFormat="1">
      <c r="A110" s="221" t="s">
        <v>385</v>
      </c>
      <c r="B110" s="245">
        <v>180</v>
      </c>
      <c r="C110" s="285" t="s">
        <v>367</v>
      </c>
      <c r="D110" s="204">
        <v>0</v>
      </c>
      <c r="E110" s="285" t="s">
        <v>367</v>
      </c>
      <c r="F110" s="204">
        <v>0</v>
      </c>
      <c r="G110" s="285" t="s">
        <v>367</v>
      </c>
      <c r="H110" s="204">
        <v>0</v>
      </c>
      <c r="I110" s="285" t="s">
        <v>367</v>
      </c>
      <c r="J110" s="204">
        <v>0</v>
      </c>
      <c r="K110" s="285" t="s">
        <v>367</v>
      </c>
      <c r="L110" s="204">
        <v>0</v>
      </c>
      <c r="M110" s="285" t="s">
        <v>367</v>
      </c>
      <c r="N110" s="204">
        <v>0</v>
      </c>
      <c r="O110" s="285" t="s">
        <v>367</v>
      </c>
      <c r="P110" s="204">
        <v>0</v>
      </c>
    </row>
    <row r="111" spans="1:16" s="177" customFormat="1" ht="28.5">
      <c r="A111" s="277" t="s">
        <v>386</v>
      </c>
      <c r="B111" s="245">
        <v>190</v>
      </c>
      <c r="C111" s="285" t="s">
        <v>367</v>
      </c>
      <c r="D111" s="204">
        <v>0</v>
      </c>
      <c r="E111" s="285" t="s">
        <v>367</v>
      </c>
      <c r="F111" s="204">
        <v>0</v>
      </c>
      <c r="G111" s="285" t="s">
        <v>367</v>
      </c>
      <c r="H111" s="204">
        <v>0</v>
      </c>
      <c r="I111" s="285" t="s">
        <v>367</v>
      </c>
      <c r="J111" s="204">
        <v>0</v>
      </c>
      <c r="K111" s="285" t="s">
        <v>367</v>
      </c>
      <c r="L111" s="204">
        <v>0</v>
      </c>
      <c r="M111" s="285" t="s">
        <v>367</v>
      </c>
      <c r="N111" s="204">
        <v>0</v>
      </c>
      <c r="O111" s="285" t="s">
        <v>367</v>
      </c>
      <c r="P111" s="204">
        <v>0</v>
      </c>
    </row>
    <row r="112" spans="1:16" s="177" customFormat="1" ht="15.75" thickBot="1">
      <c r="A112" s="225" t="s">
        <v>387</v>
      </c>
      <c r="B112" s="286">
        <v>200</v>
      </c>
      <c r="C112" s="287">
        <f>IF(C109&gt;0,IF((C109-D110-D111)&gt;0,C109-D110-D111,0),0)</f>
        <v>0</v>
      </c>
      <c r="D112" s="288">
        <f>IF(D109&gt;0,D109+D110+D111,IF((C109-D110-D111)&gt;0,0,-(C109-D110-D111)))</f>
        <v>0</v>
      </c>
      <c r="E112" s="287">
        <f>IF(E109&gt;0,IF((E109-F110-F111)&gt;0,E109-F110-F111,0),0)</f>
        <v>0</v>
      </c>
      <c r="F112" s="288">
        <f>IF(F109&gt;0,F109+F110+F111,IF((E109-F110-F111)&gt;0,0,-(E109-F110-F111)))</f>
        <v>0</v>
      </c>
      <c r="G112" s="287">
        <f>IF(G109&gt;0,IF((G109-H110-H111)&gt;0,G109-H110-H111,0),0)</f>
        <v>0</v>
      </c>
      <c r="H112" s="288">
        <f>IF(H109&gt;0,H109+H110+H111,IF((G109-H110-H111)&gt;0,0,-(G109-H110-H111)))</f>
        <v>0</v>
      </c>
      <c r="I112" s="287">
        <f>IF(I109&gt;0,IF((I109-J110-J111)&gt;0,I109-J110-J111,0),0)</f>
        <v>0</v>
      </c>
      <c r="J112" s="288">
        <f>IF(J109&gt;0,J109+J110+J111,IF((I109-J110-J111)&gt;0,0,-(I109-J110-J111)))</f>
        <v>0</v>
      </c>
      <c r="K112" s="287">
        <f>IF(K109&gt;0,IF((K109-L110-L111)&gt;0,K109-L110-L111,0),0)</f>
        <v>0</v>
      </c>
      <c r="L112" s="288">
        <f>IF(L109&gt;0,L109+L110+L111,IF((K109-L110-L111)&gt;0,0,-(K109-L110-L111)))</f>
        <v>0</v>
      </c>
      <c r="M112" s="287">
        <f>IF(M109&gt;0,IF((M109-N110-N111)&gt;0,M109-N110-N111,0),0)</f>
        <v>0</v>
      </c>
      <c r="N112" s="288">
        <f>IF(N109&gt;0,N109+N110+N111,IF((M109-N110-N111)&gt;0,0,-(M109-N110-N111)))</f>
        <v>0</v>
      </c>
      <c r="O112" s="287">
        <f>IF(O109&gt;0,IF((O109-P110-P111)&gt;0,O109-P110-P111,0),0)</f>
        <v>0</v>
      </c>
      <c r="P112" s="288">
        <f>IF(P109&gt;0,P109+P110+P111,IF((O109-P110-P111)&gt;0,0,-(O109-P110-P111)))</f>
        <v>0</v>
      </c>
    </row>
    <row r="113" spans="1:18" ht="20.25" outlineLevel="1" thickTop="1" thickBot="1">
      <c r="A113" s="289" t="s">
        <v>388</v>
      </c>
      <c r="B113" s="290"/>
      <c r="D113" s="291"/>
    </row>
    <row r="114" spans="1:18" ht="31.5" outlineLevel="1" thickTop="1" thickBot="1">
      <c r="A114" s="292"/>
      <c r="C114" s="293" t="str">
        <f t="shared" ref="C114:I114" si="10">C8</f>
        <v>На 1.01.2019г.</v>
      </c>
      <c r="D114" s="293" t="str">
        <f t="shared" si="10"/>
        <v>На 1.01.2020г.</v>
      </c>
      <c r="E114" s="294" t="str">
        <f t="shared" si="10"/>
        <v>На 1.01.2021г.</v>
      </c>
      <c r="F114" s="293" t="str">
        <f t="shared" si="10"/>
        <v>На 1.01.2021г.</v>
      </c>
      <c r="G114" s="293" t="str">
        <f t="shared" si="10"/>
        <v>На 1.01.2021г.</v>
      </c>
      <c r="H114" s="293" t="str">
        <f t="shared" si="10"/>
        <v>На 1.01.2021г.</v>
      </c>
      <c r="I114" s="293" t="str">
        <f t="shared" si="10"/>
        <v>На 1.01.2021г.</v>
      </c>
      <c r="J114" s="295"/>
      <c r="K114" s="295"/>
      <c r="L114" s="295"/>
      <c r="M114" s="295"/>
      <c r="N114" s="295"/>
      <c r="O114" s="295"/>
      <c r="P114" s="295"/>
      <c r="Q114" s="295"/>
      <c r="R114" s="295"/>
    </row>
    <row r="115" spans="1:18" s="177" customFormat="1" ht="15.75" outlineLevel="1" thickTop="1" thickBot="1">
      <c r="A115" s="296" t="s">
        <v>389</v>
      </c>
      <c r="B115" s="297"/>
      <c r="C115" s="298">
        <f>C$94</f>
        <v>0</v>
      </c>
      <c r="D115" s="298">
        <f>E$94</f>
        <v>0</v>
      </c>
      <c r="E115" s="298">
        <f>G$94</f>
        <v>0</v>
      </c>
      <c r="F115" s="298">
        <f>I$94</f>
        <v>0</v>
      </c>
      <c r="G115" s="298">
        <f>K$90</f>
        <v>0</v>
      </c>
      <c r="H115" s="298">
        <f>M$90</f>
        <v>0</v>
      </c>
      <c r="I115" s="298">
        <f>O$90</f>
        <v>0</v>
      </c>
      <c r="J115" s="299"/>
      <c r="K115" s="299"/>
      <c r="L115" s="299"/>
      <c r="M115" s="299"/>
      <c r="N115" s="299"/>
      <c r="O115" s="299"/>
      <c r="P115" s="299"/>
      <c r="Q115" s="299"/>
    </row>
    <row r="116" spans="1:18" s="177" customFormat="1" ht="15.75" outlineLevel="1" thickTop="1" thickBot="1">
      <c r="A116" s="296" t="s">
        <v>390</v>
      </c>
      <c r="B116" s="297"/>
      <c r="C116" s="300" t="e">
        <f t="shared" ref="C116:I116" si="11">(C$115*B$7/C$7-B$115)/B$115</f>
        <v>#DIV/0!</v>
      </c>
      <c r="D116" s="301" t="e">
        <f t="shared" si="11"/>
        <v>#DIV/0!</v>
      </c>
      <c r="E116" s="301" t="e">
        <f t="shared" si="11"/>
        <v>#DIV/0!</v>
      </c>
      <c r="F116" s="301" t="e">
        <f>(F$115*D$7/F$7-D$115)/D$115</f>
        <v>#DIV/0!</v>
      </c>
      <c r="G116" s="301" t="e">
        <f>(G$115*E$7/G$7-E$115)/E$115</f>
        <v>#DIV/0!</v>
      </c>
      <c r="H116" s="301" t="e">
        <f t="shared" si="11"/>
        <v>#DIV/0!</v>
      </c>
      <c r="I116" s="301" t="e">
        <f t="shared" si="11"/>
        <v>#DIV/0!</v>
      </c>
      <c r="J116" s="299"/>
      <c r="K116" s="299"/>
      <c r="L116" s="299"/>
      <c r="M116" s="299"/>
      <c r="N116" s="299"/>
      <c r="O116" s="299"/>
      <c r="P116" s="299"/>
      <c r="Q116" s="299"/>
    </row>
    <row r="117" spans="1:18" s="177" customFormat="1" ht="15.75" outlineLevel="1" thickTop="1" thickBot="1">
      <c r="A117" s="296" t="s">
        <v>391</v>
      </c>
      <c r="B117" s="297"/>
      <c r="C117" s="298">
        <f t="shared" ref="C117:I117" si="12">C$36</f>
        <v>0</v>
      </c>
      <c r="D117" s="298">
        <f t="shared" si="12"/>
        <v>0</v>
      </c>
      <c r="E117" s="298">
        <f t="shared" si="12"/>
        <v>0</v>
      </c>
      <c r="F117" s="298">
        <f t="shared" si="12"/>
        <v>0</v>
      </c>
      <c r="G117" s="298">
        <f t="shared" si="12"/>
        <v>0</v>
      </c>
      <c r="H117" s="298">
        <f t="shared" si="12"/>
        <v>0</v>
      </c>
      <c r="I117" s="298">
        <f t="shared" si="12"/>
        <v>0</v>
      </c>
      <c r="J117" s="302"/>
      <c r="K117" s="302"/>
      <c r="L117" s="302"/>
      <c r="M117" s="302"/>
      <c r="N117" s="302"/>
      <c r="O117" s="302"/>
      <c r="P117" s="302"/>
      <c r="Q117" s="302"/>
    </row>
    <row r="118" spans="1:18" s="182" customFormat="1" ht="15.75" outlineLevel="1" thickTop="1" thickBot="1">
      <c r="A118" s="296" t="s">
        <v>392</v>
      </c>
      <c r="B118" s="297"/>
      <c r="C118" s="298">
        <f t="shared" ref="C118:I118" si="13">C$35</f>
        <v>0</v>
      </c>
      <c r="D118" s="298">
        <f t="shared" si="13"/>
        <v>0</v>
      </c>
      <c r="E118" s="298">
        <f t="shared" si="13"/>
        <v>0</v>
      </c>
      <c r="F118" s="298">
        <f t="shared" si="13"/>
        <v>0</v>
      </c>
      <c r="G118" s="298">
        <f t="shared" si="13"/>
        <v>0</v>
      </c>
      <c r="H118" s="298">
        <f t="shared" si="13"/>
        <v>0</v>
      </c>
      <c r="I118" s="298">
        <f t="shared" si="13"/>
        <v>0</v>
      </c>
      <c r="J118" s="302"/>
      <c r="K118" s="302"/>
      <c r="L118" s="302"/>
      <c r="M118" s="302"/>
      <c r="N118" s="302"/>
      <c r="O118" s="302"/>
      <c r="P118" s="302"/>
      <c r="Q118" s="302"/>
    </row>
    <row r="119" spans="1:18" s="182" customFormat="1" ht="15.75" outlineLevel="1" thickTop="1" thickBot="1">
      <c r="A119" s="296" t="s">
        <v>393</v>
      </c>
      <c r="B119" s="297"/>
      <c r="C119" s="298">
        <f>D$95</f>
        <v>0</v>
      </c>
      <c r="D119" s="298">
        <f>F$95</f>
        <v>0</v>
      </c>
      <c r="E119" s="298">
        <f>H$95</f>
        <v>0</v>
      </c>
      <c r="F119" s="298">
        <f>J$95</f>
        <v>0</v>
      </c>
      <c r="G119" s="298">
        <f>L$95</f>
        <v>0</v>
      </c>
      <c r="H119" s="298">
        <f>N$95</f>
        <v>0</v>
      </c>
      <c r="I119" s="298">
        <f>P$95</f>
        <v>0</v>
      </c>
      <c r="J119" s="299"/>
      <c r="K119" s="299"/>
      <c r="L119" s="299"/>
      <c r="M119" s="299"/>
      <c r="N119" s="299"/>
      <c r="O119" s="299"/>
      <c r="P119" s="299"/>
      <c r="Q119" s="299"/>
    </row>
    <row r="120" spans="1:18" s="182" customFormat="1" ht="15.75" outlineLevel="1" thickTop="1" thickBot="1">
      <c r="A120" s="296" t="s">
        <v>394</v>
      </c>
      <c r="B120" s="297"/>
      <c r="C120" s="298">
        <f>D$98</f>
        <v>0</v>
      </c>
      <c r="D120" s="298">
        <f>F$98</f>
        <v>0</v>
      </c>
      <c r="E120" s="298">
        <f>H$98</f>
        <v>0</v>
      </c>
      <c r="F120" s="298">
        <f>J$98</f>
        <v>0</v>
      </c>
      <c r="G120" s="298">
        <f>L$98</f>
        <v>0</v>
      </c>
      <c r="H120" s="298">
        <f xml:space="preserve"> N$98</f>
        <v>0</v>
      </c>
      <c r="I120" s="298">
        <f>P$98</f>
        <v>0</v>
      </c>
      <c r="J120" s="299"/>
      <c r="K120" s="299"/>
      <c r="L120" s="299"/>
      <c r="M120" s="299"/>
      <c r="N120" s="299"/>
      <c r="O120" s="299"/>
      <c r="P120" s="299"/>
      <c r="Q120" s="299"/>
    </row>
    <row r="121" spans="1:18" s="306" customFormat="1" ht="15.75" outlineLevel="1" thickTop="1" thickBot="1">
      <c r="A121" s="303" t="s">
        <v>395</v>
      </c>
      <c r="B121" s="304"/>
      <c r="C121" s="301" t="e">
        <f>C$120/C$115</f>
        <v>#DIV/0!</v>
      </c>
      <c r="D121" s="301" t="e">
        <f t="shared" ref="D121:I121" si="14">D$120/D$115</f>
        <v>#DIV/0!</v>
      </c>
      <c r="E121" s="301" t="e">
        <f t="shared" si="14"/>
        <v>#DIV/0!</v>
      </c>
      <c r="F121" s="301" t="e">
        <f t="shared" si="14"/>
        <v>#DIV/0!</v>
      </c>
      <c r="G121" s="301" t="e">
        <f t="shared" si="14"/>
        <v>#DIV/0!</v>
      </c>
      <c r="H121" s="301" t="e">
        <f t="shared" si="14"/>
        <v>#DIV/0!</v>
      </c>
      <c r="I121" s="301" t="e">
        <f t="shared" si="14"/>
        <v>#DIV/0!</v>
      </c>
      <c r="J121" s="305"/>
      <c r="K121" s="305"/>
      <c r="L121" s="305"/>
      <c r="M121" s="305"/>
      <c r="N121" s="305"/>
      <c r="O121" s="305"/>
      <c r="P121" s="305"/>
      <c r="Q121" s="305"/>
    </row>
    <row r="122" spans="1:18" s="182" customFormat="1" ht="15.75" outlineLevel="1" thickTop="1" thickBot="1">
      <c r="A122" s="296" t="s">
        <v>396</v>
      </c>
      <c r="B122" s="297"/>
      <c r="C122" s="298">
        <f>C$112</f>
        <v>0</v>
      </c>
      <c r="D122" s="298">
        <f>E$112</f>
        <v>0</v>
      </c>
      <c r="E122" s="298">
        <f>G$112</f>
        <v>0</v>
      </c>
      <c r="F122" s="298">
        <f>I$112</f>
        <v>0</v>
      </c>
      <c r="G122" s="298">
        <f>K$112</f>
        <v>0</v>
      </c>
      <c r="H122" s="298">
        <f>M$112</f>
        <v>0</v>
      </c>
      <c r="I122" s="298">
        <f>N$112</f>
        <v>0</v>
      </c>
      <c r="J122" s="299"/>
      <c r="K122" s="299"/>
      <c r="L122" s="299"/>
      <c r="M122" s="299"/>
      <c r="N122" s="299"/>
      <c r="O122" s="299"/>
      <c r="P122" s="299"/>
      <c r="Q122" s="299"/>
    </row>
    <row r="123" spans="1:18" s="182" customFormat="1" ht="15.75" outlineLevel="1" thickTop="1" thickBot="1">
      <c r="A123" s="307" t="s">
        <v>397</v>
      </c>
      <c r="B123" s="308"/>
      <c r="C123" s="300" t="e">
        <f t="shared" ref="C123:I123" si="15">(C$122*B$7/C$7-B$122)/B$122</f>
        <v>#DIV/0!</v>
      </c>
      <c r="D123" s="301" t="e">
        <f t="shared" si="15"/>
        <v>#DIV/0!</v>
      </c>
      <c r="E123" s="301" t="e">
        <f t="shared" si="15"/>
        <v>#DIV/0!</v>
      </c>
      <c r="F123" s="301" t="e">
        <f>(F$122*D$7/F$7-D$122)/D$122</f>
        <v>#DIV/0!</v>
      </c>
      <c r="G123" s="301" t="e">
        <f>(G$122*E$7/G$7-E$122)/E$122</f>
        <v>#DIV/0!</v>
      </c>
      <c r="H123" s="301" t="e">
        <f t="shared" si="15"/>
        <v>#DIV/0!</v>
      </c>
      <c r="I123" s="301" t="e">
        <f t="shared" si="15"/>
        <v>#DIV/0!</v>
      </c>
    </row>
    <row r="124" spans="1:18" ht="15.75" outlineLevel="1" collapsed="1" thickTop="1" thickBot="1">
      <c r="A124" s="309" t="s">
        <v>398</v>
      </c>
      <c r="B124" s="310"/>
      <c r="C124" s="311" t="e">
        <f t="shared" ref="C124:H124" si="16">C122/C115</f>
        <v>#DIV/0!</v>
      </c>
      <c r="D124" s="311" t="e">
        <f t="shared" si="16"/>
        <v>#DIV/0!</v>
      </c>
      <c r="E124" s="311" t="e">
        <f t="shared" si="16"/>
        <v>#DIV/0!</v>
      </c>
      <c r="F124" s="312" t="e">
        <f t="shared" si="16"/>
        <v>#DIV/0!</v>
      </c>
      <c r="G124" s="312" t="e">
        <f t="shared" si="16"/>
        <v>#DIV/0!</v>
      </c>
      <c r="H124" s="312" t="e">
        <f t="shared" si="16"/>
        <v>#DIV/0!</v>
      </c>
      <c r="I124" s="312" t="e">
        <f>I122/I115</f>
        <v>#DIV/0!</v>
      </c>
      <c r="J124" s="305"/>
      <c r="K124" s="305"/>
      <c r="L124" s="305"/>
      <c r="M124" s="305"/>
      <c r="N124" s="305"/>
      <c r="O124" s="305"/>
      <c r="P124" s="305"/>
      <c r="Q124" s="305"/>
    </row>
    <row r="125" spans="1:18" ht="15.75" outlineLevel="1" collapsed="1" thickTop="1" thickBot="1">
      <c r="A125" s="313" t="s">
        <v>399</v>
      </c>
      <c r="B125" s="314"/>
      <c r="C125" s="315" t="e">
        <f>(SUM(C$42:C$46)+C49)*C$7*1/C94</f>
        <v>#DIV/0!</v>
      </c>
      <c r="D125" s="315" t="e">
        <f>(((SUM(C42:C46)+C49+SUM(D42:D46)+D49))/2)*D7/E94</f>
        <v>#DIV/0!</v>
      </c>
      <c r="E125" s="315" t="e">
        <f>(((SUM(D42:D46)+D49+SUM(E42:E46)+E49))/2)*E7/G94</f>
        <v>#DIV/0!</v>
      </c>
      <c r="F125" s="315" t="e">
        <f>(((SUM(E42:E46)+E49+SUM(F42:F46)+F49))/2)*F7/I94</f>
        <v>#DIV/0!</v>
      </c>
      <c r="G125" s="315" t="e">
        <f>(((SUM(F42:F46)+F49+SUM(G42:G46)+G49))/2)*G7/K94</f>
        <v>#DIV/0!</v>
      </c>
      <c r="H125" s="315" t="e">
        <f>(((SUM(G42:G46)+G49+SUM(H42:H46)+H49))/2)*H7/M94</f>
        <v>#DIV/0!</v>
      </c>
      <c r="I125" s="315" t="e">
        <f>(((SUM(H42:H46)+H49+SUM(I42:I46)+I49))/2)*I7/O94</f>
        <v>#DIV/0!</v>
      </c>
      <c r="J125" s="305"/>
      <c r="K125" s="305"/>
      <c r="L125" s="305"/>
      <c r="M125" s="305"/>
      <c r="N125" s="305"/>
      <c r="O125" s="305"/>
      <c r="P125" s="305"/>
      <c r="Q125" s="305"/>
    </row>
    <row r="126" spans="1:18" ht="15.75" outlineLevel="1" thickTop="1" thickBot="1">
      <c r="A126" s="313" t="s">
        <v>400</v>
      </c>
      <c r="B126" s="314"/>
      <c r="C126" s="316" t="e">
        <f>(SUM(C72:C80)+C76-C79)*C7*1/D95</f>
        <v>#DIV/0!</v>
      </c>
      <c r="D126" s="316" t="e">
        <f>((D72+D73+D74+D75+D77+D78+D80+C72+C73+C74+C75+C77+C78+C80)/2)*D7/F95</f>
        <v>#DIV/0!</v>
      </c>
      <c r="E126" s="316" t="e">
        <f>((E72+E73+E74+E75+E77+E78+E80+D72+D73+D74+D75+D77+D78+D80)/2)*E7/H95</f>
        <v>#DIV/0!</v>
      </c>
      <c r="F126" s="316" t="e">
        <f>((F72+F73+F74+F75+F77+F78+F80+E72+E73+E74+E75+E77+E78+E80)/2)*F7/J95</f>
        <v>#DIV/0!</v>
      </c>
      <c r="G126" s="316" t="e">
        <f>((G72+G73+G74+G75+G77+G78+G80+F72+F73+F74+F75+F77+F78+F80)/2)*G7/L95</f>
        <v>#DIV/0!</v>
      </c>
      <c r="H126" s="316" t="e">
        <f>((H72+H73+H74+H75+H77+H78+H80+G72+G73+G74+G75+G77+G78+G80)/2)*H7/N95</f>
        <v>#DIV/0!</v>
      </c>
      <c r="I126" s="316" t="e">
        <f>((I72+I73+I74+I75+I77+I78+I80+H72+H73+H74+H75+H77+H78+H80)/2)*I7/P95</f>
        <v>#DIV/0!</v>
      </c>
      <c r="J126" s="306"/>
      <c r="K126" s="306"/>
      <c r="L126" s="306"/>
      <c r="M126" s="306"/>
      <c r="N126" s="306"/>
      <c r="O126" s="306"/>
      <c r="P126" s="306"/>
      <c r="Q126" s="306"/>
    </row>
    <row r="127" spans="1:18" ht="15.75" outlineLevel="1" thickTop="1" thickBot="1">
      <c r="A127" s="313" t="s">
        <v>401</v>
      </c>
      <c r="B127" s="314"/>
      <c r="C127" s="315" t="e">
        <f>(C$30)*C7*1/D95</f>
        <v>#DIV/0!</v>
      </c>
      <c r="D127" s="315" t="e">
        <f>((C$30+D$30)/2)*D7/F95</f>
        <v>#DIV/0!</v>
      </c>
      <c r="E127" s="315" t="e">
        <f>((D$30+E$30)/2)*E7/H95</f>
        <v>#DIV/0!</v>
      </c>
      <c r="F127" s="315" t="e">
        <f>((E$30:F$30)/2)*F7/J95</f>
        <v>#DIV/0!</v>
      </c>
      <c r="G127" s="315" t="e">
        <f>((F$30:G$30)/2)*G7/L95</f>
        <v>#DIV/0!</v>
      </c>
      <c r="H127" s="315" t="e">
        <f>((G$30:H$30)/2)*H7/N95</f>
        <v>#DIV/0!</v>
      </c>
      <c r="I127" s="315" t="e">
        <f>((H$30:I$30)/2)*I7/P95</f>
        <v>#DIV/0!</v>
      </c>
      <c r="J127" s="305"/>
      <c r="K127" s="305"/>
      <c r="L127" s="305"/>
      <c r="M127" s="305"/>
      <c r="N127" s="305"/>
      <c r="O127" s="305"/>
      <c r="P127" s="305"/>
      <c r="Q127" s="305"/>
    </row>
    <row r="128" spans="1:18" ht="15.75" outlineLevel="1" thickTop="1" thickBot="1">
      <c r="A128" s="313" t="s">
        <v>402</v>
      </c>
      <c r="B128" s="314"/>
      <c r="C128" s="315" t="e">
        <f>((C32+C32)/2)*C7*1/C94</f>
        <v>#DIV/0!</v>
      </c>
      <c r="D128" s="315" t="e">
        <f>((C32+D32)/2)*D7/E94</f>
        <v>#DIV/0!</v>
      </c>
      <c r="E128" s="315" t="e">
        <f>((D32+E32)/2)*E7/G94</f>
        <v>#DIV/0!</v>
      </c>
      <c r="F128" s="315" t="e">
        <f>((E30+F30)/2)*F7/I94</f>
        <v>#DIV/0!</v>
      </c>
      <c r="G128" s="315" t="e">
        <f>((F30+G30)/2)*G7/K94</f>
        <v>#DIV/0!</v>
      </c>
      <c r="H128" s="315" t="e">
        <f>((G30+H30)/2)*H7/M94</f>
        <v>#DIV/0!</v>
      </c>
      <c r="I128" s="315" t="e">
        <f>((H30+I30)/2)*I7/O94</f>
        <v>#DIV/0!</v>
      </c>
      <c r="J128" s="305"/>
      <c r="K128" s="305"/>
      <c r="L128" s="305"/>
      <c r="M128" s="305"/>
      <c r="N128" s="305"/>
      <c r="O128" s="305"/>
      <c r="P128" s="305"/>
      <c r="Q128" s="305"/>
    </row>
    <row r="129" spans="1:17" s="291" customFormat="1" ht="17.25" outlineLevel="1" thickTop="1" thickBot="1">
      <c r="A129" s="317" t="s">
        <v>403</v>
      </c>
      <c r="B129" s="318" t="s">
        <v>404</v>
      </c>
      <c r="C129" s="319" t="e">
        <v>#DIV/0!</v>
      </c>
      <c r="D129" s="319" t="e">
        <v>#DIV/0!</v>
      </c>
      <c r="E129" s="319" t="e">
        <v>#DIV/0!</v>
      </c>
      <c r="F129" s="319" t="e">
        <v>#DIV/0!</v>
      </c>
      <c r="G129" s="319" t="e">
        <v>#DIV/0!</v>
      </c>
      <c r="H129" s="319" t="e">
        <v>#DIV/0!</v>
      </c>
      <c r="I129" s="319" t="e">
        <v>#DIV/0!</v>
      </c>
      <c r="J129" s="320"/>
      <c r="K129" s="320"/>
      <c r="L129" s="320"/>
      <c r="M129" s="320"/>
      <c r="N129" s="320"/>
      <c r="O129" s="320"/>
      <c r="P129" s="320"/>
      <c r="Q129" s="320"/>
    </row>
    <row r="130" spans="1:17" s="291" customFormat="1" ht="30" outlineLevel="1" thickTop="1" thickBot="1">
      <c r="A130" s="321" t="s">
        <v>405</v>
      </c>
      <c r="B130" s="322" t="s">
        <v>406</v>
      </c>
      <c r="C130" s="319" t="e">
        <f>(C$63)/(C$81-SUM(C$66:C$67))</f>
        <v>#DIV/0!</v>
      </c>
      <c r="D130" s="319" t="e">
        <f>(D$63)/(D$81-SUM(D$66:D$67))</f>
        <v>#DIV/0!</v>
      </c>
      <c r="E130" s="319" t="e">
        <f>(E$63)/(E$81-SUM(E$66:E$67))</f>
        <v>#DIV/0!</v>
      </c>
      <c r="F130" s="319" t="e">
        <f>(F$63)/(F$81-SUM(F$66:F$67))</f>
        <v>#DIV/0!</v>
      </c>
      <c r="G130" s="319" t="e">
        <f>G$63/(G$81-SUM(G$66:G$67))</f>
        <v>#DIV/0!</v>
      </c>
      <c r="H130" s="319" t="e">
        <f>H$63/(H$81-SUM(H$66:H$67))</f>
        <v>#DIV/0!</v>
      </c>
      <c r="I130" s="319" t="e">
        <f>I$63/(I$81-SUM(I$66:I$67))</f>
        <v>#DIV/0!</v>
      </c>
      <c r="J130" s="305"/>
      <c r="K130" s="305"/>
      <c r="L130" s="305"/>
      <c r="M130" s="305"/>
      <c r="N130" s="305"/>
      <c r="O130" s="305"/>
      <c r="P130" s="305"/>
      <c r="Q130" s="305"/>
    </row>
    <row r="131" spans="1:17" s="291" customFormat="1" ht="17.25" outlineLevel="1" thickTop="1" thickBot="1">
      <c r="A131" s="321" t="s">
        <v>407</v>
      </c>
      <c r="B131" s="322" t="s">
        <v>408</v>
      </c>
      <c r="C131" s="319" t="e">
        <f t="shared" ref="C131:I131" si="17">(C$63-C$27)/C$50</f>
        <v>#DIV/0!</v>
      </c>
      <c r="D131" s="319" t="e">
        <f t="shared" si="17"/>
        <v>#DIV/0!</v>
      </c>
      <c r="E131" s="319" t="e">
        <f t="shared" si="17"/>
        <v>#DIV/0!</v>
      </c>
      <c r="F131" s="319" t="e">
        <f t="shared" si="17"/>
        <v>#DIV/0!</v>
      </c>
      <c r="G131" s="319" t="e">
        <f t="shared" si="17"/>
        <v>#DIV/0!</v>
      </c>
      <c r="H131" s="319" t="e">
        <f t="shared" si="17"/>
        <v>#DIV/0!</v>
      </c>
      <c r="I131" s="319" t="e">
        <f t="shared" si="17"/>
        <v>#DIV/0!</v>
      </c>
      <c r="J131" s="305"/>
      <c r="K131" s="305"/>
      <c r="L131" s="305"/>
      <c r="M131" s="305"/>
      <c r="N131" s="305"/>
      <c r="O131" s="305"/>
      <c r="P131" s="305"/>
      <c r="Q131" s="305"/>
    </row>
    <row r="132" spans="1:17" s="291" customFormat="1" ht="17.25" outlineLevel="1" thickTop="1" thickBot="1">
      <c r="A132" s="317" t="s">
        <v>409</v>
      </c>
      <c r="B132" s="318" t="s">
        <v>410</v>
      </c>
      <c r="C132" s="319" t="e">
        <f t="shared" ref="C132:I132" si="18">(C56+C58+C59+C60)/C82</f>
        <v>#DIV/0!</v>
      </c>
      <c r="D132" s="319" t="e">
        <f t="shared" si="18"/>
        <v>#DIV/0!</v>
      </c>
      <c r="E132" s="319" t="e">
        <f t="shared" si="18"/>
        <v>#DIV/0!</v>
      </c>
      <c r="F132" s="319" t="e">
        <f t="shared" si="18"/>
        <v>#DIV/0!</v>
      </c>
      <c r="G132" s="319" t="e">
        <f t="shared" si="18"/>
        <v>#DIV/0!</v>
      </c>
      <c r="H132" s="319" t="e">
        <f t="shared" si="18"/>
        <v>#DIV/0!</v>
      </c>
      <c r="I132" s="319" t="e">
        <f t="shared" si="18"/>
        <v>#DIV/0!</v>
      </c>
      <c r="J132" s="305"/>
      <c r="K132" s="305"/>
      <c r="L132" s="305"/>
      <c r="M132" s="305"/>
      <c r="N132" s="305"/>
      <c r="O132" s="305"/>
      <c r="P132" s="305"/>
      <c r="Q132" s="305"/>
    </row>
    <row r="133" spans="1:17" s="291" customFormat="1" ht="17.25" outlineLevel="1" thickTop="1" thickBot="1">
      <c r="A133" s="317" t="s">
        <v>411</v>
      </c>
      <c r="B133" s="318" t="s">
        <v>412</v>
      </c>
      <c r="C133" s="319" t="e">
        <v>#DIV/0!</v>
      </c>
      <c r="D133" s="319" t="e">
        <v>#DIV/0!</v>
      </c>
      <c r="E133" s="319" t="e">
        <v>#DIV/0!</v>
      </c>
      <c r="F133" s="319" t="e">
        <v>#DIV/0!</v>
      </c>
      <c r="G133" s="319" t="e">
        <v>#DIV/0!</v>
      </c>
      <c r="H133" s="319" t="e">
        <v>#DIV/0!</v>
      </c>
      <c r="I133" s="319" t="e">
        <v>#DIV/0!</v>
      </c>
      <c r="J133" s="320"/>
      <c r="K133" s="320"/>
      <c r="L133" s="320"/>
      <c r="M133" s="320"/>
      <c r="N133" s="320"/>
      <c r="O133" s="320"/>
      <c r="P133" s="320"/>
      <c r="Q133" s="320"/>
    </row>
    <row r="134" spans="1:17" s="291" customFormat="1" ht="17.25" hidden="1" outlineLevel="2" thickTop="1" thickBot="1">
      <c r="A134" s="321" t="s">
        <v>413</v>
      </c>
      <c r="B134" s="318" t="s">
        <v>414</v>
      </c>
      <c r="C134" s="323" t="e">
        <f>(C$109-D$109)/C$82</f>
        <v>#DIV/0!</v>
      </c>
      <c r="D134" s="323" t="e">
        <f>(E$109-F$109)/D$82</f>
        <v>#DIV/0!</v>
      </c>
      <c r="E134" s="323" t="e">
        <f>(G$109-H$109)/E$82</f>
        <v>#DIV/0!</v>
      </c>
      <c r="F134" s="323" t="e">
        <f>(I$109-J$109)/F$82</f>
        <v>#DIV/0!</v>
      </c>
      <c r="G134" s="323" t="e">
        <f>(K$109-L$109)/G$82</f>
        <v>#DIV/0!</v>
      </c>
      <c r="H134" s="323" t="e">
        <f>(M$109-N$109)/H$82</f>
        <v>#DIV/0!</v>
      </c>
      <c r="I134" s="323" t="e">
        <f>(O$109-P$109)/I$82</f>
        <v>#DIV/0!</v>
      </c>
      <c r="J134" s="305"/>
      <c r="K134" s="305"/>
      <c r="L134" s="305"/>
      <c r="M134" s="305"/>
      <c r="N134" s="305"/>
      <c r="O134" s="305"/>
      <c r="P134" s="305"/>
      <c r="Q134" s="305"/>
    </row>
    <row r="135" spans="1:17" s="291" customFormat="1" ht="16.5" hidden="1" outlineLevel="2" thickTop="1" thickBot="1">
      <c r="A135" s="324" t="s">
        <v>415</v>
      </c>
      <c r="B135" s="305"/>
      <c r="C135" s="325"/>
      <c r="D135" s="325"/>
      <c r="E135" s="325"/>
      <c r="F135" s="325"/>
      <c r="G135" s="325"/>
      <c r="H135" s="325"/>
      <c r="I135" s="325"/>
      <c r="J135" s="326"/>
      <c r="K135" s="326"/>
      <c r="L135" s="326"/>
      <c r="M135" s="326"/>
      <c r="N135" s="326"/>
      <c r="O135" s="326"/>
      <c r="P135" s="326"/>
      <c r="Q135" s="326"/>
    </row>
    <row r="136" spans="1:17" s="291" customFormat="1" ht="15.75" hidden="1" outlineLevel="2" thickTop="1" thickBot="1">
      <c r="A136" s="327" t="s">
        <v>416</v>
      </c>
      <c r="B136" s="328"/>
      <c r="C136" s="329" t="e">
        <f t="shared" ref="C136:I136" si="19">IF(C129&gt;=2, 1,"")</f>
        <v>#DIV/0!</v>
      </c>
      <c r="D136" s="329" t="e">
        <f t="shared" si="19"/>
        <v>#DIV/0!</v>
      </c>
      <c r="E136" s="329" t="e">
        <f t="shared" si="19"/>
        <v>#DIV/0!</v>
      </c>
      <c r="F136" s="329" t="e">
        <f t="shared" si="19"/>
        <v>#DIV/0!</v>
      </c>
      <c r="G136" s="329" t="e">
        <f t="shared" si="19"/>
        <v>#DIV/0!</v>
      </c>
      <c r="H136" s="329" t="e">
        <f t="shared" si="19"/>
        <v>#DIV/0!</v>
      </c>
      <c r="I136" s="329" t="e">
        <f t="shared" si="19"/>
        <v>#DIV/0!</v>
      </c>
      <c r="J136" s="326"/>
      <c r="K136" s="326"/>
      <c r="L136" s="326"/>
      <c r="M136" s="326"/>
      <c r="N136" s="326"/>
      <c r="O136" s="326"/>
      <c r="P136" s="326"/>
      <c r="Q136" s="326"/>
    </row>
    <row r="137" spans="1:17" s="291" customFormat="1" ht="15.75" hidden="1" outlineLevel="2" thickTop="1" thickBot="1">
      <c r="A137" s="327" t="s">
        <v>417</v>
      </c>
      <c r="B137" s="328"/>
      <c r="C137" s="329" t="e">
        <f t="shared" ref="C137:I137" si="20">IF(C129&lt;2,IF(C129&gt;1,2,""),"")</f>
        <v>#DIV/0!</v>
      </c>
      <c r="D137" s="329" t="e">
        <f t="shared" si="20"/>
        <v>#DIV/0!</v>
      </c>
      <c r="E137" s="329" t="e">
        <f t="shared" si="20"/>
        <v>#DIV/0!</v>
      </c>
      <c r="F137" s="329" t="e">
        <f t="shared" si="20"/>
        <v>#DIV/0!</v>
      </c>
      <c r="G137" s="329" t="e">
        <f t="shared" si="20"/>
        <v>#DIV/0!</v>
      </c>
      <c r="H137" s="329" t="e">
        <f t="shared" si="20"/>
        <v>#DIV/0!</v>
      </c>
      <c r="I137" s="329" t="e">
        <f t="shared" si="20"/>
        <v>#DIV/0!</v>
      </c>
      <c r="J137" s="326"/>
      <c r="K137" s="326"/>
      <c r="L137" s="326"/>
      <c r="M137" s="326"/>
      <c r="N137" s="326"/>
      <c r="O137" s="326"/>
      <c r="P137" s="326"/>
      <c r="Q137" s="326"/>
    </row>
    <row r="138" spans="1:17" s="291" customFormat="1" ht="15.75" hidden="1" outlineLevel="2" thickTop="1" thickBot="1">
      <c r="A138" s="327" t="s">
        <v>418</v>
      </c>
      <c r="B138" s="328"/>
      <c r="C138" s="329" t="e">
        <f t="shared" ref="C138:I138" si="21">IF(C129&lt;1,IF(C129&gt;0.5,3,""),"")</f>
        <v>#DIV/0!</v>
      </c>
      <c r="D138" s="329" t="e">
        <f t="shared" si="21"/>
        <v>#DIV/0!</v>
      </c>
      <c r="E138" s="329" t="e">
        <f t="shared" si="21"/>
        <v>#DIV/0!</v>
      </c>
      <c r="F138" s="329" t="e">
        <f t="shared" si="21"/>
        <v>#DIV/0!</v>
      </c>
      <c r="G138" s="329" t="e">
        <f t="shared" si="21"/>
        <v>#DIV/0!</v>
      </c>
      <c r="H138" s="329" t="e">
        <f t="shared" si="21"/>
        <v>#DIV/0!</v>
      </c>
      <c r="I138" s="329" t="e">
        <f t="shared" si="21"/>
        <v>#DIV/0!</v>
      </c>
      <c r="J138" s="326"/>
      <c r="K138" s="326"/>
      <c r="L138" s="326"/>
      <c r="M138" s="326"/>
      <c r="N138" s="326"/>
      <c r="O138" s="326"/>
      <c r="P138" s="326"/>
      <c r="Q138" s="326"/>
    </row>
    <row r="139" spans="1:17" s="291" customFormat="1" ht="15.75" hidden="1" outlineLevel="2" thickTop="1" thickBot="1">
      <c r="A139" s="327" t="s">
        <v>419</v>
      </c>
      <c r="B139" s="328"/>
      <c r="C139" s="329" t="e">
        <f t="shared" ref="C139:I139" si="22">IF(C129&lt;0.5,4,"")</f>
        <v>#DIV/0!</v>
      </c>
      <c r="D139" s="329" t="e">
        <f t="shared" si="22"/>
        <v>#DIV/0!</v>
      </c>
      <c r="E139" s="329" t="e">
        <f t="shared" si="22"/>
        <v>#DIV/0!</v>
      </c>
      <c r="F139" s="329" t="e">
        <f t="shared" si="22"/>
        <v>#DIV/0!</v>
      </c>
      <c r="G139" s="329" t="e">
        <f t="shared" si="22"/>
        <v>#DIV/0!</v>
      </c>
      <c r="H139" s="329" t="e">
        <f t="shared" si="22"/>
        <v>#DIV/0!</v>
      </c>
      <c r="I139" s="329" t="e">
        <f t="shared" si="22"/>
        <v>#DIV/0!</v>
      </c>
      <c r="J139" s="326"/>
      <c r="K139" s="326"/>
      <c r="L139" s="326"/>
      <c r="M139" s="326"/>
      <c r="N139" s="326"/>
      <c r="O139" s="326"/>
      <c r="P139" s="326"/>
      <c r="Q139" s="326"/>
    </row>
    <row r="140" spans="1:17" s="291" customFormat="1" ht="15.75" hidden="1" outlineLevel="2" thickTop="1" thickBot="1">
      <c r="A140" s="330"/>
      <c r="B140" s="305"/>
      <c r="C140" s="331"/>
      <c r="D140" s="325"/>
      <c r="E140" s="325"/>
      <c r="F140" s="325"/>
      <c r="G140" s="325"/>
      <c r="H140" s="325"/>
      <c r="I140" s="325"/>
      <c r="J140" s="326"/>
      <c r="K140" s="326"/>
      <c r="L140" s="326"/>
      <c r="M140" s="326"/>
      <c r="N140" s="326"/>
      <c r="O140" s="326"/>
      <c r="P140" s="326"/>
      <c r="Q140" s="326"/>
    </row>
    <row r="141" spans="1:17" s="291" customFormat="1" ht="16.5" hidden="1" outlineLevel="2" thickTop="1" thickBot="1">
      <c r="A141" s="324" t="s">
        <v>420</v>
      </c>
      <c r="B141" s="305"/>
      <c r="C141" s="325"/>
      <c r="D141" s="325"/>
      <c r="E141" s="325"/>
      <c r="F141" s="325"/>
      <c r="G141" s="325"/>
      <c r="H141" s="325"/>
      <c r="I141" s="325"/>
      <c r="J141" s="326"/>
      <c r="K141" s="326"/>
      <c r="L141" s="326"/>
      <c r="M141" s="326"/>
      <c r="N141" s="326"/>
      <c r="O141" s="326"/>
      <c r="P141" s="326"/>
      <c r="Q141" s="326"/>
    </row>
    <row r="142" spans="1:17" s="291" customFormat="1" ht="15.75" hidden="1" outlineLevel="2" thickTop="1" thickBot="1">
      <c r="A142" s="327" t="s">
        <v>416</v>
      </c>
      <c r="B142" s="305"/>
      <c r="C142" s="332" t="e">
        <f t="shared" ref="C142:I142" si="23">IF(C133&gt;=1.5, 1,"")</f>
        <v>#DIV/0!</v>
      </c>
      <c r="D142" s="332" t="e">
        <f t="shared" si="23"/>
        <v>#DIV/0!</v>
      </c>
      <c r="E142" s="332" t="e">
        <f t="shared" si="23"/>
        <v>#DIV/0!</v>
      </c>
      <c r="F142" s="332" t="e">
        <f t="shared" si="23"/>
        <v>#DIV/0!</v>
      </c>
      <c r="G142" s="332" t="e">
        <f t="shared" si="23"/>
        <v>#DIV/0!</v>
      </c>
      <c r="H142" s="332" t="e">
        <f t="shared" si="23"/>
        <v>#DIV/0!</v>
      </c>
      <c r="I142" s="332" t="e">
        <f t="shared" si="23"/>
        <v>#DIV/0!</v>
      </c>
      <c r="J142" s="326"/>
      <c r="K142" s="326"/>
      <c r="L142" s="326"/>
      <c r="M142" s="326"/>
      <c r="N142" s="326"/>
      <c r="O142" s="326"/>
      <c r="P142" s="326"/>
      <c r="Q142" s="326"/>
    </row>
    <row r="143" spans="1:17" s="291" customFormat="1" ht="15.75" hidden="1" outlineLevel="2" thickTop="1" thickBot="1">
      <c r="A143" s="327" t="s">
        <v>417</v>
      </c>
      <c r="B143" s="305"/>
      <c r="C143" s="332" t="e">
        <f t="shared" ref="C143:I143" si="24">IF(C133&lt;1.5,IF(C133&gt;1,2,""),"")</f>
        <v>#DIV/0!</v>
      </c>
      <c r="D143" s="332" t="e">
        <f t="shared" si="24"/>
        <v>#DIV/0!</v>
      </c>
      <c r="E143" s="332" t="e">
        <f t="shared" si="24"/>
        <v>#DIV/0!</v>
      </c>
      <c r="F143" s="332" t="e">
        <f t="shared" si="24"/>
        <v>#DIV/0!</v>
      </c>
      <c r="G143" s="332" t="e">
        <f t="shared" si="24"/>
        <v>#DIV/0!</v>
      </c>
      <c r="H143" s="332" t="e">
        <f t="shared" si="24"/>
        <v>#DIV/0!</v>
      </c>
      <c r="I143" s="332" t="e">
        <f t="shared" si="24"/>
        <v>#DIV/0!</v>
      </c>
      <c r="J143" s="326"/>
      <c r="K143" s="326"/>
      <c r="L143" s="326"/>
      <c r="M143" s="326"/>
      <c r="N143" s="326"/>
      <c r="O143" s="326"/>
      <c r="P143" s="326"/>
      <c r="Q143" s="326"/>
    </row>
    <row r="144" spans="1:17" s="291" customFormat="1" ht="15.75" hidden="1" outlineLevel="2" thickTop="1" thickBot="1">
      <c r="A144" s="327" t="s">
        <v>418</v>
      </c>
      <c r="B144" s="305"/>
      <c r="C144" s="332" t="e">
        <f t="shared" ref="C144:I144" si="25">IF(C133&lt;1,IF(C133&gt;0,3,""),"")</f>
        <v>#DIV/0!</v>
      </c>
      <c r="D144" s="332" t="e">
        <f t="shared" si="25"/>
        <v>#DIV/0!</v>
      </c>
      <c r="E144" s="332" t="e">
        <f t="shared" si="25"/>
        <v>#DIV/0!</v>
      </c>
      <c r="F144" s="332" t="e">
        <f t="shared" si="25"/>
        <v>#DIV/0!</v>
      </c>
      <c r="G144" s="332" t="e">
        <f t="shared" si="25"/>
        <v>#DIV/0!</v>
      </c>
      <c r="H144" s="332" t="e">
        <f t="shared" si="25"/>
        <v>#DIV/0!</v>
      </c>
      <c r="I144" s="332" t="e">
        <f t="shared" si="25"/>
        <v>#DIV/0!</v>
      </c>
      <c r="J144" s="326"/>
      <c r="K144" s="326"/>
      <c r="L144" s="326"/>
      <c r="M144" s="326"/>
      <c r="N144" s="326"/>
      <c r="O144" s="326"/>
      <c r="P144" s="326"/>
      <c r="Q144" s="326"/>
    </row>
    <row r="145" spans="1:18" s="291" customFormat="1" ht="15.75" hidden="1" outlineLevel="2" thickTop="1" thickBot="1">
      <c r="A145" s="327" t="s">
        <v>419</v>
      </c>
      <c r="B145" s="305"/>
      <c r="C145" s="332" t="e">
        <f t="shared" ref="C145:I145" si="26">IF(C133=0,"ЛС=0","")</f>
        <v>#DIV/0!</v>
      </c>
      <c r="D145" s="332" t="e">
        <f t="shared" si="26"/>
        <v>#DIV/0!</v>
      </c>
      <c r="E145" s="332" t="e">
        <f t="shared" si="26"/>
        <v>#DIV/0!</v>
      </c>
      <c r="F145" s="332" t="e">
        <f t="shared" si="26"/>
        <v>#DIV/0!</v>
      </c>
      <c r="G145" s="332" t="e">
        <f t="shared" si="26"/>
        <v>#DIV/0!</v>
      </c>
      <c r="H145" s="332" t="e">
        <f t="shared" si="26"/>
        <v>#DIV/0!</v>
      </c>
      <c r="I145" s="332" t="e">
        <f t="shared" si="26"/>
        <v>#DIV/0!</v>
      </c>
      <c r="J145" s="326"/>
      <c r="K145" s="326"/>
      <c r="L145" s="326"/>
      <c r="M145" s="326"/>
      <c r="N145" s="326"/>
      <c r="O145" s="326"/>
      <c r="P145" s="326"/>
      <c r="Q145" s="326"/>
    </row>
    <row r="146" spans="1:18" ht="15.75" hidden="1" outlineLevel="2" thickTop="1" thickBot="1">
      <c r="A146" s="330"/>
      <c r="B146" s="305"/>
      <c r="C146" s="331"/>
      <c r="D146" s="325"/>
      <c r="E146" s="325"/>
      <c r="F146" s="325"/>
      <c r="G146" s="325"/>
      <c r="H146" s="325"/>
      <c r="I146" s="325"/>
      <c r="J146" s="326"/>
      <c r="K146" s="326"/>
      <c r="L146" s="326"/>
      <c r="M146" s="326"/>
      <c r="N146" s="326"/>
      <c r="O146" s="326"/>
      <c r="P146" s="326"/>
      <c r="Q146" s="326"/>
    </row>
    <row r="147" spans="1:18" ht="16.5" hidden="1" outlineLevel="2" thickTop="1" thickBot="1">
      <c r="A147" s="324" t="s">
        <v>421</v>
      </c>
      <c r="B147" s="305"/>
      <c r="C147" s="325"/>
      <c r="D147" s="325"/>
      <c r="E147" s="325"/>
      <c r="F147" s="325"/>
      <c r="G147" s="325"/>
      <c r="H147" s="325"/>
      <c r="I147" s="325"/>
      <c r="J147" s="326"/>
      <c r="K147" s="326"/>
      <c r="L147" s="326"/>
      <c r="M147" s="326"/>
      <c r="N147" s="326"/>
      <c r="O147" s="326"/>
      <c r="P147" s="326"/>
      <c r="Q147" s="326"/>
    </row>
    <row r="148" spans="1:18" ht="15.75" hidden="1" outlineLevel="2" thickTop="1" thickBot="1">
      <c r="A148" s="327" t="s">
        <v>416</v>
      </c>
      <c r="B148" s="305"/>
      <c r="C148" s="332" t="e">
        <f t="shared" ref="C148:I148" si="27">IF(C132&gt;=0.6, 1,"")</f>
        <v>#DIV/0!</v>
      </c>
      <c r="D148" s="332" t="e">
        <f t="shared" si="27"/>
        <v>#DIV/0!</v>
      </c>
      <c r="E148" s="332" t="e">
        <f t="shared" si="27"/>
        <v>#DIV/0!</v>
      </c>
      <c r="F148" s="332" t="e">
        <f t="shared" si="27"/>
        <v>#DIV/0!</v>
      </c>
      <c r="G148" s="332" t="e">
        <f t="shared" si="27"/>
        <v>#DIV/0!</v>
      </c>
      <c r="H148" s="332" t="e">
        <f t="shared" si="27"/>
        <v>#DIV/0!</v>
      </c>
      <c r="I148" s="332" t="e">
        <f t="shared" si="27"/>
        <v>#DIV/0!</v>
      </c>
      <c r="J148" s="326"/>
      <c r="K148" s="326"/>
      <c r="L148" s="326"/>
      <c r="M148" s="326"/>
      <c r="N148" s="326"/>
      <c r="O148" s="326"/>
      <c r="P148" s="326"/>
      <c r="Q148" s="326"/>
    </row>
    <row r="149" spans="1:18" ht="15.75" hidden="1" outlineLevel="2" thickTop="1" thickBot="1">
      <c r="A149" s="327" t="s">
        <v>417</v>
      </c>
      <c r="B149" s="305"/>
      <c r="C149" s="332" t="e">
        <f t="shared" ref="C149:I149" si="28">IF(C132&lt;0.6,IF(C132&gt;0.3,2,""),"")</f>
        <v>#DIV/0!</v>
      </c>
      <c r="D149" s="332" t="e">
        <f t="shared" si="28"/>
        <v>#DIV/0!</v>
      </c>
      <c r="E149" s="332" t="e">
        <f t="shared" si="28"/>
        <v>#DIV/0!</v>
      </c>
      <c r="F149" s="332" t="e">
        <f t="shared" si="28"/>
        <v>#DIV/0!</v>
      </c>
      <c r="G149" s="332" t="e">
        <f t="shared" si="28"/>
        <v>#DIV/0!</v>
      </c>
      <c r="H149" s="332" t="e">
        <f t="shared" si="28"/>
        <v>#DIV/0!</v>
      </c>
      <c r="I149" s="332" t="e">
        <f t="shared" si="28"/>
        <v>#DIV/0!</v>
      </c>
      <c r="J149" s="326"/>
      <c r="K149" s="326"/>
      <c r="L149" s="326"/>
      <c r="M149" s="326"/>
      <c r="N149" s="326"/>
      <c r="O149" s="326"/>
      <c r="P149" s="326"/>
      <c r="Q149" s="326"/>
    </row>
    <row r="150" spans="1:18" ht="15.75" hidden="1" outlineLevel="2" thickTop="1" thickBot="1">
      <c r="A150" s="327" t="s">
        <v>418</v>
      </c>
      <c r="B150" s="305"/>
      <c r="C150" s="332" t="e">
        <f t="shared" ref="C150:I150" si="29">IF(C132&lt;0.3,IF(C132&gt;0,3,""),"")</f>
        <v>#DIV/0!</v>
      </c>
      <c r="D150" s="332" t="e">
        <f t="shared" si="29"/>
        <v>#DIV/0!</v>
      </c>
      <c r="E150" s="332" t="e">
        <f t="shared" si="29"/>
        <v>#DIV/0!</v>
      </c>
      <c r="F150" s="332" t="e">
        <f t="shared" si="29"/>
        <v>#DIV/0!</v>
      </c>
      <c r="G150" s="332" t="e">
        <f t="shared" si="29"/>
        <v>#DIV/0!</v>
      </c>
      <c r="H150" s="332" t="e">
        <f t="shared" si="29"/>
        <v>#DIV/0!</v>
      </c>
      <c r="I150" s="332" t="e">
        <f t="shared" si="29"/>
        <v>#DIV/0!</v>
      </c>
      <c r="J150" s="326"/>
      <c r="K150" s="326"/>
      <c r="L150" s="326"/>
      <c r="M150" s="326"/>
      <c r="N150" s="326"/>
      <c r="O150" s="326"/>
      <c r="P150" s="326"/>
      <c r="Q150" s="326"/>
    </row>
    <row r="151" spans="1:18" ht="15.75" hidden="1" outlineLevel="2" thickTop="1" thickBot="1">
      <c r="A151" s="327" t="s">
        <v>419</v>
      </c>
      <c r="B151" s="305"/>
      <c r="C151" s="332" t="str">
        <f t="shared" ref="C151:I151" si="30">IF((C43-C56-C57)&gt;C67,"ДА","")</f>
        <v/>
      </c>
      <c r="D151" s="332" t="str">
        <f>IF((D43-D56-D57)&gt;D70,"ДА","")</f>
        <v/>
      </c>
      <c r="E151" s="332" t="str">
        <f t="shared" si="30"/>
        <v/>
      </c>
      <c r="F151" s="332" t="str">
        <f t="shared" si="30"/>
        <v/>
      </c>
      <c r="G151" s="332" t="str">
        <f t="shared" si="30"/>
        <v/>
      </c>
      <c r="H151" s="332" t="str">
        <f t="shared" si="30"/>
        <v/>
      </c>
      <c r="I151" s="332" t="str">
        <f t="shared" si="30"/>
        <v/>
      </c>
      <c r="J151" s="326"/>
      <c r="K151" s="326"/>
      <c r="L151" s="326"/>
      <c r="M151" s="326"/>
      <c r="N151" s="326"/>
      <c r="O151" s="326"/>
      <c r="P151" s="326"/>
      <c r="Q151" s="326"/>
    </row>
    <row r="152" spans="1:18" ht="16.5" outlineLevel="1" collapsed="1" thickTop="1" thickBot="1">
      <c r="A152" s="333" t="s">
        <v>422</v>
      </c>
      <c r="B152" s="304"/>
      <c r="C152" s="334" t="e">
        <f t="shared" ref="C152:I152" si="31">AVERAGE(C136:C139,C142:C145,C148:C151)</f>
        <v>#DIV/0!</v>
      </c>
      <c r="D152" s="334" t="e">
        <f t="shared" si="31"/>
        <v>#DIV/0!</v>
      </c>
      <c r="E152" s="334" t="e">
        <f t="shared" si="31"/>
        <v>#DIV/0!</v>
      </c>
      <c r="F152" s="334" t="e">
        <f t="shared" si="31"/>
        <v>#DIV/0!</v>
      </c>
      <c r="G152" s="334" t="e">
        <f t="shared" si="31"/>
        <v>#DIV/0!</v>
      </c>
      <c r="H152" s="334" t="e">
        <f t="shared" si="31"/>
        <v>#DIV/0!</v>
      </c>
      <c r="I152" s="334" t="e">
        <f t="shared" si="31"/>
        <v>#DIV/0!</v>
      </c>
      <c r="J152" s="326"/>
      <c r="K152" s="326"/>
      <c r="L152" s="326"/>
      <c r="M152" s="326"/>
      <c r="N152" s="326"/>
      <c r="O152" s="326"/>
      <c r="P152" s="326"/>
      <c r="Q152" s="326"/>
    </row>
    <row r="153" spans="1:18" ht="16.5" outlineLevel="1" thickTop="1" thickBot="1">
      <c r="A153" s="333" t="s">
        <v>423</v>
      </c>
      <c r="B153" s="304"/>
      <c r="C153" s="335" t="e">
        <f t="shared" ref="C153:I153" si="32">IF(C$129&lt;2,"-",IF(C$130&lt;2,"-",IF(C$132&lt;0.5,"-",IF(C$131&lt;0.1,"-","+"))))</f>
        <v>#DIV/0!</v>
      </c>
      <c r="D153" s="335" t="e">
        <f t="shared" si="32"/>
        <v>#DIV/0!</v>
      </c>
      <c r="E153" s="335" t="e">
        <f t="shared" si="32"/>
        <v>#DIV/0!</v>
      </c>
      <c r="F153" s="335" t="e">
        <f t="shared" si="32"/>
        <v>#DIV/0!</v>
      </c>
      <c r="G153" s="335" t="e">
        <f t="shared" si="32"/>
        <v>#DIV/0!</v>
      </c>
      <c r="H153" s="335" t="e">
        <f t="shared" si="32"/>
        <v>#DIV/0!</v>
      </c>
      <c r="I153" s="335" t="e">
        <f t="shared" si="32"/>
        <v>#DIV/0!</v>
      </c>
      <c r="J153" s="326"/>
      <c r="K153" s="326"/>
      <c r="L153" s="326"/>
      <c r="M153" s="326"/>
      <c r="N153" s="326"/>
      <c r="O153" s="326"/>
      <c r="P153" s="326"/>
      <c r="Q153" s="326"/>
    </row>
    <row r="154" spans="1:18" ht="16.5" outlineLevel="1" thickTop="1" thickBot="1">
      <c r="A154" s="336" t="s">
        <v>424</v>
      </c>
      <c r="B154" s="337"/>
      <c r="C154" s="338" t="e">
        <f>(($C$30+$C$31+$C$32+$C$33+$C$35+$C$36+$C$37+$C$38+$C$42+$C$43+$C$44+$C$45+$C$46+$C$49)*$C$7)*1/$C$94</f>
        <v>#DIV/0!</v>
      </c>
      <c r="D154" s="338" t="e">
        <f>((($C$30+$C$31+$C$32+$C$33+$C$35+$C$36+$C$37+$C$38+$C$42+$C$43+$C$44+$C$45+$C$46+$C$49)+($D$30+$D$31+$D$32+$D$33+$D$35+$D$36+$D$37+$D$38+$D$42+$D$43+$D$44+$D$45+$D$46+$D$49)/2)*$D$7)/$E$90</f>
        <v>#DIV/0!</v>
      </c>
      <c r="E154" s="338" t="e">
        <f>((($D$30+$D$31+$D$32+$D$33+$D$35+$D$36+$D$37+$D$38+$D$42+$D$43+$D$44+$D$45+$D$46+$D$49)+($E$30+$E$31+$E$32+$E$33+$E$35+$E$36+$E$37+$E$38+$E$42+$E$43+$E$44+$E$45+$E$46+$E$49)/2)*$E$7)/$G$94</f>
        <v>#DIV/0!</v>
      </c>
      <c r="F154" s="338" t="e">
        <f>((($E$30+$E$31+$E$32+$E$33+$E$35+$E$36+$E$37+$E$38+$E$42+$E$43+$E$44+$E$45+$E$46+$E$49)+($F$30+$F$31+$F$32+$F$33+$F$35+$F$36+$F$37+$F$38+$F$42+$F$43+$F$44+$F$45+$F$46+$F$49)/2)*$F$7)/$I$94</f>
        <v>#DIV/0!</v>
      </c>
      <c r="G154" s="338" t="e">
        <f>((($F$30+$F$31+$F$32+$F$33+$F$35+$F$36+$F$37+$F$38+$F$42+$F$43+$F$44+$F$45+$F$46+$F$49)+($G$30+$G$31+$G$32+$G$33+$G$35+$G$36+$G$37+$G$38+$G$42+$G$43+$G$44+$G$45+$G$46+$G$49)/2)*$G$7)/$K$94</f>
        <v>#DIV/0!</v>
      </c>
      <c r="H154" s="338" t="e">
        <f>((($G$30+$G$31+$G$32+$G$33+$G$35+$G$36+$G$37+$G$38+$G$42+$G$43+$G$44+$G$45+$G$46+$G$49)+($H$30+$H$31+$H$32+$H$33+$H$35+$H$36+$H$37+$H$38+$H$42+$H$43+$H$44+$H$45+$H$46+$H$49)/2)*$H$7)/$M$94</f>
        <v>#DIV/0!</v>
      </c>
      <c r="I154" s="338" t="e">
        <f>((($H$30+$H$31+$H$32+$H$33+$H$35+$H$36+$H$37+$H$38+$H$42+$H$43+$H$44+$H$45+$H$46+$H$49)+($I$30+$I$31+$I$32+$I$33+$I$35+$I$36+$I$37+$I$38+$I$42+$I$43+$I$44+$I$45+$I$46+$I$49)/2)*$I$7)/$O$94</f>
        <v>#DIV/0!</v>
      </c>
    </row>
    <row r="155" spans="1:18" s="342" customFormat="1" ht="16.5" outlineLevel="1" thickTop="1" thickBot="1">
      <c r="A155" s="339" t="s">
        <v>425</v>
      </c>
      <c r="B155" s="340"/>
      <c r="C155" s="341">
        <v>30</v>
      </c>
      <c r="D155" s="260"/>
      <c r="E155" s="260"/>
      <c r="F155" s="260"/>
      <c r="G155" s="260"/>
      <c r="H155" s="260"/>
      <c r="I155" s="260"/>
      <c r="J155" s="260"/>
      <c r="K155" s="260"/>
      <c r="L155" s="260"/>
      <c r="M155" s="260"/>
      <c r="N155" s="260"/>
      <c r="O155" s="260"/>
      <c r="P155" s="260"/>
      <c r="Q155" s="260"/>
      <c r="R155" s="260"/>
    </row>
    <row r="156" spans="1:18" ht="16.5" outlineLevel="1" thickTop="1" thickBot="1">
      <c r="A156" s="343" t="s">
        <v>426</v>
      </c>
      <c r="C156" s="291"/>
      <c r="D156" s="291"/>
      <c r="E156" s="291"/>
      <c r="F156" s="291"/>
      <c r="G156" s="291"/>
      <c r="H156" s="291"/>
      <c r="I156" s="291"/>
    </row>
    <row r="157" spans="1:18" ht="15.75" outlineLevel="1" thickTop="1" thickBot="1">
      <c r="A157" s="344" t="s">
        <v>315</v>
      </c>
      <c r="B157" s="345"/>
      <c r="C157" s="346">
        <f t="shared" ref="C157:I157" si="33">C$63</f>
        <v>0</v>
      </c>
      <c r="D157" s="346">
        <f t="shared" si="33"/>
        <v>0</v>
      </c>
      <c r="E157" s="346">
        <f t="shared" si="33"/>
        <v>0</v>
      </c>
      <c r="F157" s="346">
        <f t="shared" si="33"/>
        <v>0</v>
      </c>
      <c r="G157" s="346">
        <f t="shared" si="33"/>
        <v>0</v>
      </c>
      <c r="H157" s="346">
        <f t="shared" si="33"/>
        <v>0</v>
      </c>
      <c r="I157" s="346">
        <f t="shared" si="33"/>
        <v>0</v>
      </c>
    </row>
    <row r="158" spans="1:18" ht="15.75" outlineLevel="1" thickTop="1" thickBot="1">
      <c r="A158" s="347" t="s">
        <v>239</v>
      </c>
      <c r="B158" s="348"/>
      <c r="C158" s="346">
        <f t="shared" ref="C158:I158" si="34">C$27</f>
        <v>0</v>
      </c>
      <c r="D158" s="346">
        <f t="shared" si="34"/>
        <v>0</v>
      </c>
      <c r="E158" s="346">
        <f t="shared" si="34"/>
        <v>0</v>
      </c>
      <c r="F158" s="346">
        <f t="shared" si="34"/>
        <v>0</v>
      </c>
      <c r="G158" s="346">
        <f t="shared" si="34"/>
        <v>0</v>
      </c>
      <c r="H158" s="346">
        <f t="shared" si="34"/>
        <v>0</v>
      </c>
      <c r="I158" s="346">
        <f t="shared" si="34"/>
        <v>0</v>
      </c>
    </row>
    <row r="159" spans="1:18" ht="15.75" outlineLevel="1" thickTop="1" thickBot="1">
      <c r="A159" s="349" t="s">
        <v>427</v>
      </c>
      <c r="B159" s="348"/>
      <c r="C159" s="346">
        <f t="shared" ref="C159:I159" si="35">SUM(C$66:C$67)</f>
        <v>0</v>
      </c>
      <c r="D159" s="346">
        <f>SUM(D$66:D$67)</f>
        <v>0</v>
      </c>
      <c r="E159" s="346">
        <f t="shared" si="35"/>
        <v>0</v>
      </c>
      <c r="F159" s="346">
        <f t="shared" si="35"/>
        <v>0</v>
      </c>
      <c r="G159" s="346">
        <f t="shared" si="35"/>
        <v>0</v>
      </c>
      <c r="H159" s="346">
        <f t="shared" si="35"/>
        <v>0</v>
      </c>
      <c r="I159" s="346">
        <f t="shared" si="35"/>
        <v>0</v>
      </c>
    </row>
    <row r="160" spans="1:18" ht="15.75" outlineLevel="1" thickTop="1" thickBot="1">
      <c r="A160" s="349" t="s">
        <v>428</v>
      </c>
      <c r="B160" s="348"/>
      <c r="C160" s="346">
        <f t="shared" ref="C160:I160" si="36">C158-C159</f>
        <v>0</v>
      </c>
      <c r="D160" s="346">
        <f t="shared" si="36"/>
        <v>0</v>
      </c>
      <c r="E160" s="346">
        <f t="shared" si="36"/>
        <v>0</v>
      </c>
      <c r="F160" s="346">
        <f t="shared" si="36"/>
        <v>0</v>
      </c>
      <c r="G160" s="346">
        <f t="shared" si="36"/>
        <v>0</v>
      </c>
      <c r="H160" s="346">
        <f t="shared" si="36"/>
        <v>0</v>
      </c>
      <c r="I160" s="346">
        <f t="shared" si="36"/>
        <v>0</v>
      </c>
    </row>
    <row r="161" spans="1:9" ht="15.75" hidden="1" outlineLevel="1" thickTop="1">
      <c r="A161" s="343" t="s">
        <v>429</v>
      </c>
      <c r="B161" s="350"/>
      <c r="C161" s="291"/>
      <c r="D161" s="291"/>
      <c r="E161" s="291"/>
      <c r="F161" s="291"/>
      <c r="G161" s="291"/>
      <c r="H161" s="291"/>
      <c r="I161" s="291"/>
    </row>
    <row r="162" spans="1:9" ht="15.75" hidden="1" outlineLevel="1" thickTop="1" thickBot="1">
      <c r="A162" s="345" t="s">
        <v>430</v>
      </c>
      <c r="B162" s="345"/>
      <c r="C162" s="346">
        <f>C$50</f>
        <v>0</v>
      </c>
      <c r="D162" s="346">
        <f t="shared" ref="D162:I162" si="37">D$50</f>
        <v>0</v>
      </c>
      <c r="E162" s="346">
        <f t="shared" si="37"/>
        <v>0</v>
      </c>
      <c r="F162" s="346">
        <f t="shared" si="37"/>
        <v>0</v>
      </c>
      <c r="G162" s="346">
        <f t="shared" si="37"/>
        <v>0</v>
      </c>
      <c r="H162" s="346">
        <f t="shared" si="37"/>
        <v>0</v>
      </c>
      <c r="I162" s="346">
        <f t="shared" si="37"/>
        <v>0</v>
      </c>
    </row>
    <row r="163" spans="1:9" ht="15.75" hidden="1" outlineLevel="1" thickTop="1" thickBot="1">
      <c r="A163" s="347" t="s">
        <v>431</v>
      </c>
      <c r="B163" s="348"/>
      <c r="C163" s="346">
        <f>C$63-(C$27-C$66-C$67)</f>
        <v>0</v>
      </c>
      <c r="D163" s="346">
        <f t="shared" ref="D163:I163" si="38">D$63-(D$27-D$66-D$67)</f>
        <v>0</v>
      </c>
      <c r="E163" s="346">
        <f t="shared" si="38"/>
        <v>0</v>
      </c>
      <c r="F163" s="346">
        <f t="shared" si="38"/>
        <v>0</v>
      </c>
      <c r="G163" s="346">
        <f t="shared" si="38"/>
        <v>0</v>
      </c>
      <c r="H163" s="346">
        <f t="shared" si="38"/>
        <v>0</v>
      </c>
      <c r="I163" s="346">
        <f t="shared" si="38"/>
        <v>0</v>
      </c>
    </row>
    <row r="164" spans="1:9" ht="15.75" hidden="1" outlineLevel="1" thickTop="1" thickBot="1">
      <c r="A164" s="351" t="s">
        <v>432</v>
      </c>
      <c r="B164" s="348"/>
      <c r="C164" s="346">
        <f>SUM(C$42:C$49)</f>
        <v>0</v>
      </c>
      <c r="D164" s="346">
        <f t="shared" ref="D164:I164" si="39">SUM(D$42:D$49)</f>
        <v>0</v>
      </c>
      <c r="E164" s="346">
        <f t="shared" si="39"/>
        <v>0</v>
      </c>
      <c r="F164" s="346">
        <f t="shared" si="39"/>
        <v>0</v>
      </c>
      <c r="G164" s="346">
        <f t="shared" si="39"/>
        <v>0</v>
      </c>
      <c r="H164" s="346">
        <f t="shared" si="39"/>
        <v>0</v>
      </c>
      <c r="I164" s="346">
        <f t="shared" si="39"/>
        <v>0</v>
      </c>
    </row>
    <row r="165" spans="1:9" ht="15.75" hidden="1" outlineLevel="1" thickTop="1" thickBot="1">
      <c r="A165" s="348" t="s">
        <v>433</v>
      </c>
      <c r="B165" s="348"/>
      <c r="C165" s="346">
        <f>C$50-(C$63-(C$27-C$66-C$67))</f>
        <v>0</v>
      </c>
      <c r="D165" s="346">
        <f t="shared" ref="D165:I165" si="40">D$50-(D$63-(D$27-D$66-D$67))</f>
        <v>0</v>
      </c>
      <c r="E165" s="346">
        <f t="shared" si="40"/>
        <v>0</v>
      </c>
      <c r="F165" s="346">
        <f t="shared" si="40"/>
        <v>0</v>
      </c>
      <c r="G165" s="346">
        <f t="shared" si="40"/>
        <v>0</v>
      </c>
      <c r="H165" s="346">
        <f t="shared" si="40"/>
        <v>0</v>
      </c>
      <c r="I165" s="346">
        <f t="shared" si="40"/>
        <v>0</v>
      </c>
    </row>
    <row r="166" spans="1:9" ht="15.75" hidden="1" outlineLevel="1" thickTop="1" thickBot="1">
      <c r="A166" s="351" t="s">
        <v>434</v>
      </c>
      <c r="B166" s="348"/>
      <c r="C166" s="346">
        <f>SUM(C$72:C$80)</f>
        <v>0</v>
      </c>
      <c r="D166" s="346">
        <f t="shared" ref="D166:I166" si="41">SUM(D$72:D$80)</f>
        <v>0</v>
      </c>
      <c r="E166" s="346">
        <f t="shared" si="41"/>
        <v>0</v>
      </c>
      <c r="F166" s="346">
        <f t="shared" si="41"/>
        <v>0</v>
      </c>
      <c r="G166" s="346">
        <f t="shared" si="41"/>
        <v>0</v>
      </c>
      <c r="H166" s="346">
        <f t="shared" si="41"/>
        <v>0</v>
      </c>
      <c r="I166" s="346">
        <f t="shared" si="41"/>
        <v>0</v>
      </c>
    </row>
    <row r="167" spans="1:9" ht="15.75" hidden="1" outlineLevel="1" thickTop="1" thickBot="1">
      <c r="A167" s="347" t="s">
        <v>435</v>
      </c>
      <c r="B167" s="348"/>
      <c r="C167" s="346">
        <f>C$119/C$7*C$155</f>
        <v>0</v>
      </c>
      <c r="D167" s="346">
        <f t="shared" ref="D167:I167" si="42">D$119/D$7*D$155</f>
        <v>0</v>
      </c>
      <c r="E167" s="346">
        <f t="shared" si="42"/>
        <v>0</v>
      </c>
      <c r="F167" s="346">
        <f t="shared" si="42"/>
        <v>0</v>
      </c>
      <c r="G167" s="346">
        <f t="shared" si="42"/>
        <v>0</v>
      </c>
      <c r="H167" s="346">
        <f t="shared" si="42"/>
        <v>0</v>
      </c>
      <c r="I167" s="346">
        <f t="shared" si="42"/>
        <v>0</v>
      </c>
    </row>
    <row r="168" spans="1:9" ht="15.75" hidden="1" outlineLevel="1" thickTop="1" thickBot="1">
      <c r="A168" s="347" t="s">
        <v>436</v>
      </c>
      <c r="B168" s="348"/>
      <c r="C168" s="323">
        <f>C163-C167</f>
        <v>0</v>
      </c>
      <c r="D168" s="323">
        <f t="shared" ref="D168:I168" si="43">D163-D167</f>
        <v>0</v>
      </c>
      <c r="E168" s="323">
        <f t="shared" si="43"/>
        <v>0</v>
      </c>
      <c r="F168" s="323">
        <f t="shared" si="43"/>
        <v>0</v>
      </c>
      <c r="G168" s="323">
        <f t="shared" si="43"/>
        <v>0</v>
      </c>
      <c r="H168" s="323">
        <f t="shared" si="43"/>
        <v>0</v>
      </c>
      <c r="I168" s="323">
        <f t="shared" si="43"/>
        <v>0</v>
      </c>
    </row>
    <row r="169" spans="1:9" ht="15.75" hidden="1" outlineLevel="1" thickTop="1">
      <c r="A169" s="295" t="s">
        <v>437</v>
      </c>
      <c r="C169" s="291"/>
      <c r="D169" s="291"/>
      <c r="E169" s="291"/>
      <c r="F169" s="291"/>
      <c r="G169" s="291"/>
      <c r="H169" s="291"/>
      <c r="I169" s="291"/>
    </row>
    <row r="170" spans="1:9" ht="15.75" hidden="1" outlineLevel="1" thickTop="1" thickBot="1">
      <c r="A170" s="348" t="s">
        <v>438</v>
      </c>
      <c r="B170" s="352"/>
      <c r="C170" s="346">
        <f t="shared" ref="C170:H170" si="44">SUM(C$30:C$32)</f>
        <v>0</v>
      </c>
      <c r="D170" s="346">
        <f>SUM(D$30:D$32)</f>
        <v>0</v>
      </c>
      <c r="E170" s="346">
        <f>SUM(E$30:E$32)</f>
        <v>0</v>
      </c>
      <c r="F170" s="346">
        <f t="shared" si="44"/>
        <v>0</v>
      </c>
      <c r="G170" s="346">
        <f t="shared" si="44"/>
        <v>0</v>
      </c>
      <c r="H170" s="346">
        <f t="shared" si="44"/>
        <v>0</v>
      </c>
      <c r="I170" s="346">
        <f>SUM(I$30:I$33)</f>
        <v>0</v>
      </c>
    </row>
    <row r="171" spans="1:9" ht="15.75" hidden="1" outlineLevel="1" thickTop="1" thickBot="1">
      <c r="A171" s="353" t="s">
        <v>439</v>
      </c>
      <c r="B171" s="352"/>
      <c r="C171" s="354" t="e">
        <f>C$119/C$170</f>
        <v>#DIV/0!</v>
      </c>
      <c r="D171" s="354" t="e">
        <f t="shared" ref="D171:I171" si="45">D$119/D$170</f>
        <v>#DIV/0!</v>
      </c>
      <c r="E171" s="354" t="e">
        <f t="shared" si="45"/>
        <v>#DIV/0!</v>
      </c>
      <c r="F171" s="354" t="e">
        <f t="shared" si="45"/>
        <v>#DIV/0!</v>
      </c>
      <c r="G171" s="354" t="e">
        <f t="shared" si="45"/>
        <v>#DIV/0!</v>
      </c>
      <c r="H171" s="354" t="e">
        <f t="shared" si="45"/>
        <v>#DIV/0!</v>
      </c>
      <c r="I171" s="354" t="e">
        <f t="shared" si="45"/>
        <v>#DIV/0!</v>
      </c>
    </row>
    <row r="172" spans="1:9" ht="15.75" hidden="1" outlineLevel="1" thickTop="1" thickBot="1">
      <c r="A172" s="348" t="s">
        <v>440</v>
      </c>
      <c r="B172" s="352"/>
      <c r="C172" s="354" t="e">
        <f>C$7/C$171</f>
        <v>#DIV/0!</v>
      </c>
      <c r="D172" s="354" t="e">
        <f t="shared" ref="D172:I172" si="46">D$7/D$171</f>
        <v>#DIV/0!</v>
      </c>
      <c r="E172" s="354" t="e">
        <f t="shared" si="46"/>
        <v>#DIV/0!</v>
      </c>
      <c r="F172" s="354" t="e">
        <f t="shared" si="46"/>
        <v>#DIV/0!</v>
      </c>
      <c r="G172" s="354" t="e">
        <f t="shared" si="46"/>
        <v>#DIV/0!</v>
      </c>
      <c r="H172" s="354" t="e">
        <f t="shared" si="46"/>
        <v>#DIV/0!</v>
      </c>
      <c r="I172" s="354" t="e">
        <f t="shared" si="46"/>
        <v>#DIV/0!</v>
      </c>
    </row>
    <row r="173" spans="1:9" ht="16.5" outlineLevel="1" thickTop="1" thickBot="1">
      <c r="A173" s="295" t="s">
        <v>441</v>
      </c>
      <c r="C173" s="291"/>
      <c r="D173" s="291"/>
      <c r="E173" s="291"/>
      <c r="F173" s="291"/>
      <c r="G173" s="291"/>
      <c r="H173" s="291"/>
      <c r="I173" s="291"/>
    </row>
    <row r="174" spans="1:9" ht="15.75" outlineLevel="1" thickTop="1" thickBot="1">
      <c r="A174" s="345" t="s">
        <v>442</v>
      </c>
      <c r="B174" s="355"/>
      <c r="C174" s="346">
        <f>C$50</f>
        <v>0</v>
      </c>
      <c r="D174" s="346">
        <f t="shared" ref="D174:I174" si="47">D$50</f>
        <v>0</v>
      </c>
      <c r="E174" s="346">
        <f t="shared" si="47"/>
        <v>0</v>
      </c>
      <c r="F174" s="346">
        <f t="shared" si="47"/>
        <v>0</v>
      </c>
      <c r="G174" s="346">
        <f t="shared" si="47"/>
        <v>0</v>
      </c>
      <c r="H174" s="346">
        <f t="shared" si="47"/>
        <v>0</v>
      </c>
      <c r="I174" s="346">
        <f t="shared" si="47"/>
        <v>0</v>
      </c>
    </row>
    <row r="175" spans="1:9" ht="15.75" outlineLevel="1" thickTop="1" thickBot="1">
      <c r="A175" s="348" t="s">
        <v>443</v>
      </c>
      <c r="B175" s="352"/>
      <c r="C175" s="346">
        <f>SUM(C$30:C$33)</f>
        <v>0</v>
      </c>
      <c r="D175" s="346">
        <f t="shared" ref="D175:I175" si="48">SUM(D$30:D$33)</f>
        <v>0</v>
      </c>
      <c r="E175" s="346">
        <f t="shared" si="48"/>
        <v>0</v>
      </c>
      <c r="F175" s="346">
        <f t="shared" si="48"/>
        <v>0</v>
      </c>
      <c r="G175" s="346">
        <f t="shared" si="48"/>
        <v>0</v>
      </c>
      <c r="H175" s="346">
        <f t="shared" si="48"/>
        <v>0</v>
      </c>
      <c r="I175" s="346">
        <f t="shared" si="48"/>
        <v>0</v>
      </c>
    </row>
    <row r="176" spans="1:9" ht="15.75" outlineLevel="1" thickTop="1" thickBot="1">
      <c r="A176" s="351" t="s">
        <v>444</v>
      </c>
      <c r="B176" s="352"/>
      <c r="C176" s="346">
        <f t="shared" ref="C176:I176" si="49">C$30</f>
        <v>0</v>
      </c>
      <c r="D176" s="346">
        <f t="shared" si="49"/>
        <v>0</v>
      </c>
      <c r="E176" s="346">
        <f t="shared" si="49"/>
        <v>0</v>
      </c>
      <c r="F176" s="346">
        <f t="shared" si="49"/>
        <v>0</v>
      </c>
      <c r="G176" s="346">
        <f t="shared" si="49"/>
        <v>0</v>
      </c>
      <c r="H176" s="346">
        <f t="shared" si="49"/>
        <v>0</v>
      </c>
      <c r="I176" s="346">
        <f t="shared" si="49"/>
        <v>0</v>
      </c>
    </row>
    <row r="177" spans="1:9" ht="15.75" outlineLevel="1" thickTop="1" thickBot="1">
      <c r="A177" s="351" t="s">
        <v>445</v>
      </c>
      <c r="B177" s="352"/>
      <c r="C177" s="346">
        <f>C$31</f>
        <v>0</v>
      </c>
      <c r="D177" s="346">
        <f t="shared" ref="D177:I177" si="50">D$31</f>
        <v>0</v>
      </c>
      <c r="E177" s="346">
        <f t="shared" si="50"/>
        <v>0</v>
      </c>
      <c r="F177" s="346">
        <f t="shared" si="50"/>
        <v>0</v>
      </c>
      <c r="G177" s="346">
        <f t="shared" si="50"/>
        <v>0</v>
      </c>
      <c r="H177" s="346">
        <f t="shared" si="50"/>
        <v>0</v>
      </c>
      <c r="I177" s="346">
        <f t="shared" si="50"/>
        <v>0</v>
      </c>
    </row>
    <row r="178" spans="1:9" ht="15.75" outlineLevel="1" thickTop="1" thickBot="1">
      <c r="A178" s="351" t="s">
        <v>446</v>
      </c>
      <c r="B178" s="352"/>
      <c r="C178" s="346">
        <f>C$32</f>
        <v>0</v>
      </c>
      <c r="D178" s="346">
        <f t="shared" ref="D178:I178" si="51">D$32</f>
        <v>0</v>
      </c>
      <c r="E178" s="346">
        <f t="shared" si="51"/>
        <v>0</v>
      </c>
      <c r="F178" s="346">
        <f t="shared" si="51"/>
        <v>0</v>
      </c>
      <c r="G178" s="346">
        <f t="shared" si="51"/>
        <v>0</v>
      </c>
      <c r="H178" s="346">
        <f t="shared" si="51"/>
        <v>0</v>
      </c>
      <c r="I178" s="346">
        <f t="shared" si="51"/>
        <v>0</v>
      </c>
    </row>
    <row r="179" spans="1:9" ht="15.75" outlineLevel="1" thickTop="1" thickBot="1">
      <c r="A179" s="351" t="s">
        <v>447</v>
      </c>
      <c r="B179" s="352"/>
      <c r="C179" s="346">
        <f>C$33</f>
        <v>0</v>
      </c>
      <c r="D179" s="346">
        <f t="shared" ref="D179:I179" si="52">D$33</f>
        <v>0</v>
      </c>
      <c r="E179" s="346">
        <f t="shared" si="52"/>
        <v>0</v>
      </c>
      <c r="F179" s="346">
        <f t="shared" si="52"/>
        <v>0</v>
      </c>
      <c r="G179" s="346">
        <f t="shared" si="52"/>
        <v>0</v>
      </c>
      <c r="H179" s="346">
        <f t="shared" si="52"/>
        <v>0</v>
      </c>
      <c r="I179" s="346">
        <f t="shared" si="52"/>
        <v>0</v>
      </c>
    </row>
    <row r="180" spans="1:9" ht="15.75" outlineLevel="1" thickTop="1" thickBot="1">
      <c r="A180" s="356" t="s">
        <v>392</v>
      </c>
      <c r="B180" s="352"/>
      <c r="C180" s="346">
        <f>SUM(C$35:C$37)</f>
        <v>0</v>
      </c>
      <c r="D180" s="346">
        <f t="shared" ref="D180:I180" si="53">SUM(D$35:D$37)</f>
        <v>0</v>
      </c>
      <c r="E180" s="346">
        <f t="shared" si="53"/>
        <v>0</v>
      </c>
      <c r="F180" s="346">
        <f t="shared" si="53"/>
        <v>0</v>
      </c>
      <c r="G180" s="346">
        <f t="shared" si="53"/>
        <v>0</v>
      </c>
      <c r="H180" s="346">
        <f t="shared" si="53"/>
        <v>0</v>
      </c>
      <c r="I180" s="346">
        <f t="shared" si="53"/>
        <v>0</v>
      </c>
    </row>
    <row r="181" spans="1:9" ht="15.75" outlineLevel="1" thickTop="1" thickBot="1">
      <c r="A181" s="348" t="s">
        <v>448</v>
      </c>
      <c r="B181" s="352"/>
      <c r="C181" s="346">
        <f>SUM(C$42:C$49)</f>
        <v>0</v>
      </c>
      <c r="D181" s="346">
        <f t="shared" ref="D181:I181" si="54">SUM(D$42:D$49)</f>
        <v>0</v>
      </c>
      <c r="E181" s="346">
        <f t="shared" si="54"/>
        <v>0</v>
      </c>
      <c r="F181" s="346">
        <f t="shared" si="54"/>
        <v>0</v>
      </c>
      <c r="G181" s="346">
        <f t="shared" si="54"/>
        <v>0</v>
      </c>
      <c r="H181" s="346">
        <f t="shared" si="54"/>
        <v>0</v>
      </c>
      <c r="I181" s="346">
        <f t="shared" si="54"/>
        <v>0</v>
      </c>
    </row>
    <row r="182" spans="1:9" ht="15.75" outlineLevel="1" thickTop="1" thickBot="1">
      <c r="A182" s="348" t="s">
        <v>449</v>
      </c>
      <c r="B182" s="352"/>
      <c r="C182" s="346">
        <f>SUM(C$34,C$38:C$39)</f>
        <v>0</v>
      </c>
      <c r="D182" s="346">
        <f t="shared" ref="D182:I182" si="55">SUM(D$34,D$38:D$39)</f>
        <v>0</v>
      </c>
      <c r="E182" s="346">
        <f t="shared" si="55"/>
        <v>0</v>
      </c>
      <c r="F182" s="346">
        <f t="shared" si="55"/>
        <v>0</v>
      </c>
      <c r="G182" s="346">
        <f t="shared" si="55"/>
        <v>0</v>
      </c>
      <c r="H182" s="346">
        <f t="shared" si="55"/>
        <v>0</v>
      </c>
      <c r="I182" s="346">
        <f t="shared" si="55"/>
        <v>0</v>
      </c>
    </row>
    <row r="183" spans="1:9" ht="16.5" outlineLevel="1" thickTop="1" thickBot="1">
      <c r="A183" s="295" t="s">
        <v>450</v>
      </c>
      <c r="C183" s="291"/>
      <c r="D183" s="291"/>
      <c r="E183" s="291"/>
      <c r="F183" s="291"/>
      <c r="G183" s="291"/>
      <c r="H183" s="291"/>
      <c r="I183" s="291"/>
    </row>
    <row r="184" spans="1:9" ht="15.75" outlineLevel="1" thickTop="1" thickBot="1">
      <c r="A184" s="345" t="s">
        <v>239</v>
      </c>
      <c r="B184" s="355"/>
      <c r="C184" s="346">
        <f>C$27</f>
        <v>0</v>
      </c>
      <c r="D184" s="346">
        <f t="shared" ref="D184:I184" si="56">D$27</f>
        <v>0</v>
      </c>
      <c r="E184" s="346">
        <f t="shared" si="56"/>
        <v>0</v>
      </c>
      <c r="F184" s="346">
        <f t="shared" si="56"/>
        <v>0</v>
      </c>
      <c r="G184" s="346">
        <f t="shared" si="56"/>
        <v>0</v>
      </c>
      <c r="H184" s="346">
        <f t="shared" si="56"/>
        <v>0</v>
      </c>
      <c r="I184" s="346">
        <f t="shared" si="56"/>
        <v>0</v>
      </c>
    </row>
    <row r="185" spans="1:9" ht="15.75" outlineLevel="1" thickTop="1" thickBot="1">
      <c r="A185" s="351" t="s">
        <v>451</v>
      </c>
      <c r="B185" s="355"/>
      <c r="C185" s="346">
        <f>C$27-SUM(C$66:C$67)</f>
        <v>0</v>
      </c>
      <c r="D185" s="346">
        <f t="shared" ref="D185:I185" si="57">D$27-SUM(D$66:D$67)</f>
        <v>0</v>
      </c>
      <c r="E185" s="346">
        <f t="shared" si="57"/>
        <v>0</v>
      </c>
      <c r="F185" s="346">
        <f t="shared" si="57"/>
        <v>0</v>
      </c>
      <c r="G185" s="346">
        <f t="shared" si="57"/>
        <v>0</v>
      </c>
      <c r="H185" s="346">
        <f t="shared" si="57"/>
        <v>0</v>
      </c>
      <c r="I185" s="346">
        <f t="shared" si="57"/>
        <v>0</v>
      </c>
    </row>
    <row r="186" spans="1:9" ht="15.75" outlineLevel="1" thickTop="1" thickBot="1">
      <c r="A186" s="351" t="s">
        <v>452</v>
      </c>
      <c r="B186" s="355"/>
      <c r="C186" s="346">
        <f>SUM(C$66:C$67)</f>
        <v>0</v>
      </c>
      <c r="D186" s="346">
        <f t="shared" ref="D186:I186" si="58">SUM(D$66:D$67)</f>
        <v>0</v>
      </c>
      <c r="E186" s="346">
        <f t="shared" si="58"/>
        <v>0</v>
      </c>
      <c r="F186" s="346">
        <f t="shared" si="58"/>
        <v>0</v>
      </c>
      <c r="G186" s="346">
        <f t="shared" si="58"/>
        <v>0</v>
      </c>
      <c r="H186" s="346">
        <f t="shared" si="58"/>
        <v>0</v>
      </c>
      <c r="I186" s="346">
        <f t="shared" si="58"/>
        <v>0</v>
      </c>
    </row>
    <row r="187" spans="1:9" ht="15.75" outlineLevel="1" thickTop="1" thickBot="1">
      <c r="A187" s="345" t="s">
        <v>272</v>
      </c>
      <c r="B187" s="355"/>
      <c r="C187" s="346">
        <f>C$50</f>
        <v>0</v>
      </c>
      <c r="D187" s="346">
        <f t="shared" ref="D187:I187" si="59">D$50</f>
        <v>0</v>
      </c>
      <c r="E187" s="346">
        <f t="shared" si="59"/>
        <v>0</v>
      </c>
      <c r="F187" s="346">
        <f t="shared" si="59"/>
        <v>0</v>
      </c>
      <c r="G187" s="346">
        <f t="shared" si="59"/>
        <v>0</v>
      </c>
      <c r="H187" s="346">
        <f t="shared" si="59"/>
        <v>0</v>
      </c>
      <c r="I187" s="346">
        <f t="shared" si="59"/>
        <v>0</v>
      </c>
    </row>
    <row r="188" spans="1:9" ht="15.75" outlineLevel="1" thickTop="1" thickBot="1">
      <c r="A188" s="351" t="s">
        <v>451</v>
      </c>
      <c r="B188" s="355"/>
      <c r="C188" s="357">
        <f>C$63-C$27-C$66-C$67</f>
        <v>0</v>
      </c>
      <c r="D188" s="357">
        <f t="shared" ref="D188:I188" si="60">D$63-D$27-D$66-D$67</f>
        <v>0</v>
      </c>
      <c r="E188" s="357">
        <f t="shared" si="60"/>
        <v>0</v>
      </c>
      <c r="F188" s="357">
        <f t="shared" si="60"/>
        <v>0</v>
      </c>
      <c r="G188" s="357">
        <f t="shared" si="60"/>
        <v>0</v>
      </c>
      <c r="H188" s="357">
        <f t="shared" si="60"/>
        <v>0</v>
      </c>
      <c r="I188" s="357">
        <f t="shared" si="60"/>
        <v>0</v>
      </c>
    </row>
    <row r="189" spans="1:9" ht="15.75" outlineLevel="1" thickTop="1" thickBot="1">
      <c r="A189" s="351" t="s">
        <v>452</v>
      </c>
      <c r="B189" s="355"/>
      <c r="C189" s="346">
        <f>C$50-C$188</f>
        <v>0</v>
      </c>
      <c r="D189" s="346">
        <f t="shared" ref="D189:I189" si="61">D$50-D$188</f>
        <v>0</v>
      </c>
      <c r="E189" s="346">
        <f t="shared" si="61"/>
        <v>0</v>
      </c>
      <c r="F189" s="346">
        <f t="shared" si="61"/>
        <v>0</v>
      </c>
      <c r="G189" s="346">
        <f t="shared" si="61"/>
        <v>0</v>
      </c>
      <c r="H189" s="346">
        <f t="shared" si="61"/>
        <v>0</v>
      </c>
      <c r="I189" s="346">
        <f t="shared" si="61"/>
        <v>0</v>
      </c>
    </row>
    <row r="190" spans="1:9" ht="15.75" outlineLevel="1" thickTop="1" thickBot="1">
      <c r="A190" s="345" t="s">
        <v>453</v>
      </c>
      <c r="B190" s="355"/>
      <c r="C190" s="346">
        <f>C$51</f>
        <v>0</v>
      </c>
      <c r="D190" s="346">
        <f t="shared" ref="D190:I190" si="62">D$51</f>
        <v>0</v>
      </c>
      <c r="E190" s="346">
        <f t="shared" si="62"/>
        <v>0</v>
      </c>
      <c r="F190" s="346">
        <f t="shared" si="62"/>
        <v>0</v>
      </c>
      <c r="G190" s="346">
        <f t="shared" si="62"/>
        <v>0</v>
      </c>
      <c r="H190" s="346">
        <f t="shared" si="62"/>
        <v>0</v>
      </c>
      <c r="I190" s="346">
        <f t="shared" si="62"/>
        <v>0</v>
      </c>
    </row>
    <row r="191" spans="1:9" ht="15.75" outlineLevel="1" thickTop="1" thickBot="1">
      <c r="A191" s="351" t="s">
        <v>451</v>
      </c>
      <c r="B191" s="355"/>
      <c r="C191" s="346">
        <f>C$185+C$188</f>
        <v>0</v>
      </c>
      <c r="D191" s="346">
        <f t="shared" ref="D191:I191" si="63">D$185+D$188</f>
        <v>0</v>
      </c>
      <c r="E191" s="346">
        <f t="shared" si="63"/>
        <v>0</v>
      </c>
      <c r="F191" s="346">
        <f t="shared" si="63"/>
        <v>0</v>
      </c>
      <c r="G191" s="346">
        <f t="shared" si="63"/>
        <v>0</v>
      </c>
      <c r="H191" s="346">
        <f t="shared" si="63"/>
        <v>0</v>
      </c>
      <c r="I191" s="346">
        <f t="shared" si="63"/>
        <v>0</v>
      </c>
    </row>
    <row r="192" spans="1:9" ht="15.75" outlineLevel="1" thickTop="1" thickBot="1">
      <c r="A192" s="351" t="s">
        <v>452</v>
      </c>
      <c r="B192" s="355"/>
      <c r="C192" s="346">
        <f>C$186+C$189</f>
        <v>0</v>
      </c>
      <c r="D192" s="346">
        <f t="shared" ref="D192:I192" si="64">D$186+D$189</f>
        <v>0</v>
      </c>
      <c r="E192" s="346">
        <f t="shared" si="64"/>
        <v>0</v>
      </c>
      <c r="F192" s="346">
        <f t="shared" si="64"/>
        <v>0</v>
      </c>
      <c r="G192" s="346">
        <f t="shared" si="64"/>
        <v>0</v>
      </c>
      <c r="H192" s="346">
        <f t="shared" si="64"/>
        <v>0</v>
      </c>
      <c r="I192" s="346">
        <f t="shared" si="64"/>
        <v>0</v>
      </c>
    </row>
    <row r="193" spans="1:9" ht="15.75" hidden="1" thickTop="1">
      <c r="A193" s="358" t="s">
        <v>454</v>
      </c>
      <c r="C193" s="359">
        <f>C63-(C27-(C66+C67))</f>
        <v>0</v>
      </c>
      <c r="D193" s="359">
        <f t="shared" ref="D193:I193" si="65">D63-(D27-(D66+D67))</f>
        <v>0</v>
      </c>
      <c r="E193" s="359">
        <f t="shared" si="65"/>
        <v>0</v>
      </c>
      <c r="F193" s="359">
        <f t="shared" si="65"/>
        <v>0</v>
      </c>
      <c r="G193" s="359">
        <f t="shared" si="65"/>
        <v>0</v>
      </c>
      <c r="H193" s="359">
        <f t="shared" si="65"/>
        <v>0</v>
      </c>
      <c r="I193" s="359">
        <f t="shared" si="65"/>
        <v>0</v>
      </c>
    </row>
    <row r="194" spans="1:9" ht="15.75" thickTop="1">
      <c r="A194" s="360" t="s">
        <v>455</v>
      </c>
      <c r="B194" s="360"/>
      <c r="C194" s="361" t="e">
        <f>$C$94*1/((($C$30+$C$31+$C$32+$C$33+$C$35+$C$36+$C$37+$C$38+$C$42+$C$43+$C$44+$C$45+$C$46+$C$49)+($C$30+$C$31+$C$32+$C$33+$C$35+$C$36+$C$37+$C$38+$C$42+$C$43+$C$44+$C$45+$C$46+$C$49))/2)</f>
        <v>#DIV/0!</v>
      </c>
      <c r="D194" s="361" t="e">
        <f>$E$94/((($C$30+$C$31+$C$32+$C$33+$C$35+$C$36+$C$37+$C$38+$C$42+$C$43+$C$44+$C$45+$C$46+$C$49)+($D$30+$D$31+$D$32+$D$33+$D$35+$D$36+$D$37+$D$38+$D$42+$D$43+$D$44+$D$45+$D$46+$D$49))/2)</f>
        <v>#DIV/0!</v>
      </c>
      <c r="E194" s="361" t="e">
        <f>$G$94/((($D$30+$D$31+$D$32+$D$33+$D$35+$D$36+$D$37+$D$38+$D$42+$D$43+$D$44+$D$45+$D$46+$D$49)+($E$30+$E$31+$E$32+$E$33+$E$35+$E$36+$E$37+$E$38+$E$42+$E$43+$E$44+$E$45+$E$46+$E$49))/2)</f>
        <v>#DIV/0!</v>
      </c>
      <c r="F194" s="361" t="e">
        <f>$I$90/((($G$30+$G$31+$G$32+$G$33+$G$35+$G$36+$G$37+$G$38+$G$42+$G$43+$G$44+$G$45+$G$46+$G$49)+($F$30+$F$31+$F$32+$F$33+$F$35+$F$36+$F$37+$F$38+$F$42+$F$43+$F$44+$F$45+$F$46+$F$49))/2)</f>
        <v>#DIV/0!</v>
      </c>
      <c r="G194" s="361" t="e">
        <f>$K$90/((($H$30+$H$31+$H$32+$H$33+$H$35+$H$36+$H$37+$H$38+$H$42+$H$43+$H$44+$H$45+$H$46+$H$49)+($G$30+$G$31+$G$32+$G$33+$G$35+$G$36+$G$37+$G$38+$G$42+$G$43+$G$44+$G$45+$G$46+$G$49))/2)</f>
        <v>#DIV/0!</v>
      </c>
      <c r="H194" s="361" t="e">
        <f>$M$90/((($I$30+$I$31+$I$32+$I$33+$I$35+$I$36+$I$37+$I$38+$I$42+$I$43+$I$44+$I$45+$I$46+$I$49)+($H$30+$H$31+$H$32+$H$33+$H$35+$H$36+$H$37+$H$38+$H$42+$H$43+$H$44+$H$45+$H$46+$H$49))/2)</f>
        <v>#DIV/0!</v>
      </c>
      <c r="I194" s="361" t="e">
        <f>$O$90/((($J$30+$J$31+$J$32+$J$33+$J$35+$J$36+$J$37+$J$38+$J$42+$J$43+$J$44+$J$45+$J$46+$J$49)+($I$30+$I$31+$I$32+$I$33+$I$35+$I$36+$I$37+$I$38+$I$42+$I$43+$I$44+$I$45+$I$46+$I$49))/2)</f>
        <v>#DIV/0!</v>
      </c>
    </row>
    <row r="195" spans="1:9" ht="15" hidden="1">
      <c r="A195" s="362" t="s">
        <v>424</v>
      </c>
      <c r="B195" s="363"/>
      <c r="C195" s="364" t="e">
        <f>(($C$30+$C$31+$C$32+$C$33+$C$35+$C$36+$C$37+$C$38+$C$42+$C$43+$C$44+$C$45+$C$46+$C$49)*$C$7)*1/$C$94</f>
        <v>#DIV/0!</v>
      </c>
      <c r="D195" s="364" t="e">
        <f>((($C$30+$C$31+$C$32+$C$33+$C$35+$C$36+$C$37+$C$38+$C$42+$C$43+$C$44+$C$45+$C$46+$C$49)+($D$30+$D$31+$D$32+$D$33+$D$35+$D$36+$D$37+$D$38+$D$42+$D$43+$D$44+$D$45+$D$46+$D$49)/2)*$D$7)/$E$90</f>
        <v>#DIV/0!</v>
      </c>
      <c r="E195" s="364" t="e">
        <f>((($D$30+$D$31+$D$32+$D$33+$D$35+$D$36+$D$37+$D$38+$D$42+$D$43+$D$44+$D$45+$D$46+$D$49)+($E$30+$E$31+$E$32+$E$33+$E$35+$E$36+$E$37+$E$38+$E$42+$E$43+$E$44+$E$45+$E$46+$E$49)/2)*$E$7)/$G$94</f>
        <v>#DIV/0!</v>
      </c>
      <c r="F195" s="364" t="e">
        <f>((($E$30+$E$31+$E$32+$E$33+$E$35+$E$36+$E$37+$E$38+$E$42+$E$43+$E$44+$E$45+$E$46+$E$49)+($F$30+$F$31+$F$32+$F$33+$F$35+$F$36+$F$37+$F$38+$F$42+$F$43+$F$44+$F$45+$F$46+$F$49)/2)*$F$7)/$I$94</f>
        <v>#DIV/0!</v>
      </c>
      <c r="G195" s="364" t="e">
        <f>((($F$30+$F$31+$F$32+$F$33+$F$35+$F$36+$F$37+$F$38+$F$42+$F$43+$F$44+$F$45+$F$46+$F$49)+($G$30+$G$31+$G$32+$G$33+$G$35+$G$36+$G$37+$G$38+$G$42+$G$43+$G$44+$G$45+$G$46+$G$49)/2)*$G$7)/$K$94</f>
        <v>#DIV/0!</v>
      </c>
      <c r="H195" s="364" t="e">
        <f>((($G$30+$G$31+$G$32+$G$33+$G$35+$G$36+$G$37+$G$38+$G$42+$G$43+$G$44+$G$45+$G$46+$G$49)+($H$30+$H$31+$H$32+$H$33+$H$35+$H$36+$H$37+$H$38+$H$42+$H$43+$H$44+$H$45+$H$46+$H$49)/2)*$H$7)/$M$94</f>
        <v>#DIV/0!</v>
      </c>
      <c r="I195" s="364" t="e">
        <f>((($H$30+$H$31+$H$32+$H$33+$H$35+$H$36+$H$37+$H$38+$H$42+$H$43+$H$44+$H$45+$H$46+$H$49)+($I$30+$I$31+$I$32+$I$33+$I$35+$I$36+$I$37+$I$38+$I$42+$I$43+$I$44+$I$45+$I$46+$I$49)/2)*$I$7)/$O$94</f>
        <v>#DIV/0!</v>
      </c>
    </row>
    <row r="196" spans="1:9">
      <c r="A196"/>
      <c r="C196" s="365"/>
      <c r="D196" s="365"/>
    </row>
    <row r="199" spans="1:9">
      <c r="C199" s="366" t="e">
        <f>C195/60</f>
        <v>#DIV/0!</v>
      </c>
      <c r="D199" s="366" t="e">
        <f>D195/60</f>
        <v>#DIV/0!</v>
      </c>
      <c r="E199" s="366" t="e">
        <f>E195/60</f>
        <v>#DIV/0!</v>
      </c>
    </row>
  </sheetData>
  <printOptions horizontalCentered="1"/>
  <pageMargins left="0.74803149606299213" right="0.59055118110236227" top="0.31496062992125984" bottom="0.62992125984251968" header="0.23622047244094491" footer="0.51181102362204722"/>
  <pageSetup paperSize="9" scale="48" fitToHeight="2" orientation="portrait" r:id="rId1"/>
  <headerFooter alignWithMargins="0">
    <oddHeader>&amp;RТаблица  №  1 c.</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ПаспортRUS</vt:lpstr>
      <vt:lpstr>ТЭП</vt:lpstr>
      <vt:lpstr>ПаспортРУС</vt:lpstr>
      <vt:lpstr>ПаспортEng</vt:lpstr>
      <vt:lpstr>CashFlow</vt:lpstr>
      <vt:lpstr>NPV-IRR-PI-PP (2)</vt:lpstr>
      <vt:lpstr>1</vt:lpstr>
      <vt:lpstr>'1'!Область_печати</vt:lpstr>
      <vt:lpstr>CashFlow!Область_печати</vt:lpstr>
      <vt:lpstr>'NPV-IRR-PI-PP (2)'!Область_печати</vt:lpstr>
      <vt:lpstr>ПаспортEng!Область_печати</vt:lpstr>
      <vt:lpstr>ПаспортRUS!Область_печати</vt:lpstr>
      <vt:lpstr>ПаспортРУС!Область_печати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Nigmanov Zafar</dc:creator>
  <cp:lastModifiedBy>Elbek Nematjonov</cp:lastModifiedBy>
  <cp:lastPrinted>2021-06-18T07:15:56Z</cp:lastPrinted>
  <dcterms:created xsi:type="dcterms:W3CDTF">2021-03-31T07:17:52Z</dcterms:created>
  <dcterms:modified xsi:type="dcterms:W3CDTF">2021-06-18T07:32:37Z</dcterms:modified>
</cp:coreProperties>
</file>