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АПИИ\АПИИ янв-фев 2021\202-234 январь-февраль\1. Готовые\2-Переработка резинотехнических отходов\"/>
    </mc:Choice>
  </mc:AlternateContent>
  <xr:revisionPtr revIDLastSave="0" documentId="13_ncr:1_{61448AD3-1124-4A76-BBBD-F80212A60330}" xr6:coauthVersionLast="44" xr6:coauthVersionMax="44" xr10:uidLastSave="{00000000-0000-0000-0000-000000000000}"/>
  <bookViews>
    <workbookView xWindow="-120" yWindow="-120" windowWidth="29040" windowHeight="15840" activeTab="3" xr2:uid="{81F6BAB8-947A-4BD0-B8B8-019F20B6EBD2}"/>
  </bookViews>
  <sheets>
    <sheet name="ПаспортРУС" sheetId="3" r:id="rId1"/>
    <sheet name="ПаспортEng" sheetId="4" r:id="rId2"/>
    <sheet name="Форма-отчета 21" sheetId="1" r:id="rId3"/>
    <sheet name="БП-Eng" sheetId="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'[1]Параметр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[0]!_a1Z,[0]!_a2Z</definedName>
    <definedName name="_aZ" localSheetId="1">[0]!_a1Z,[0]!_a2Z</definedName>
    <definedName name="_aZ" localSheetId="2">[0]!_a1Z,[0]!_a2Z</definedName>
    <definedName name="_aZ">[0]!_a1Z,[0]!_a2Z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[2]Лист3!$A$2:$C$611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'[3]Жиззах янги раз'!#REF!</definedName>
    <definedName name="AE1148678">'[4]Жиззах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TRUNC(([0]!oy-1)/3+1)</definedName>
    <definedName name="allll" localSheetId="2">TRUNC(([0]!oy-1)/3+1)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[5]BAL!$A$1:$O$1858</definedName>
    <definedName name="Balans_9mesBox" localSheetId="3">#REF!</definedName>
    <definedName name="Balans_9mesBox" localSheetId="2">#REF!</definedName>
    <definedName name="Balans_9mesBox">#REF!</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F">#REF!</definedName>
    <definedName name="CG">#REF!</definedName>
    <definedName name="ch" localSheetId="3">TRUNC(([0]!oy-1)/3+1)</definedName>
    <definedName name="ch" localSheetId="2">TRUNC(([0]!oy-1)/3+1)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[0]!_a1Z,[0]!_a2Z</definedName>
    <definedName name="dac" localSheetId="1">[0]!_a1Z,[0]!_a2Z</definedName>
    <definedName name="dac" localSheetId="2">[0]!_a1Z,[0]!_a2Z</definedName>
    <definedName name="dac">[0]!_a1Z,[0]!_a2Z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TRUNC(([0]!oy-1)/3+1)</definedName>
    <definedName name="dddddd" localSheetId="2">TRUNC(([0]!oy-1)/3+1)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lk">#REF!</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[0]!дел/1000</definedName>
    <definedName name="gfgfgg" localSheetId="1">[0]!дел/1000</definedName>
    <definedName name="gfgfgg" localSheetId="2">[0]!дел/1000</definedName>
    <definedName name="gfgfgg">[0]!дел/1000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[0]!дел/1000</definedName>
    <definedName name="ghjhb" localSheetId="1">[0]!дел/1000</definedName>
    <definedName name="ghjhb" localSheetId="2">[0]!дел/1000</definedName>
    <definedName name="ghjhb">[0]!дел/1000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TRUNC(([0]!oy-1)/3+1)</definedName>
    <definedName name="hjilll" localSheetId="2">TRUNC(([0]!oy-1)/3+1)</definedName>
    <definedName name="hjilll">TRUNC(([0]!oy-1)/3+1)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[0]!_a1Z,[0]!_a2Z</definedName>
    <definedName name="INVESTMENT" localSheetId="1">[0]!_a1Z,[0]!_a2Z</definedName>
    <definedName name="INVESTMENT" localSheetId="2">[0]!_a1Z,[0]!_a2Z</definedName>
    <definedName name="INVESTMENT">[0]!_a1Z,[0]!_a2Z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'[6]табли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TRUNC(([0]!oy-1)/3+1)</definedName>
    <definedName name="ka" localSheetId="2">TRUNC(([0]!oy-1)/3+1)</definedName>
    <definedName name="ka">TRUNC(([0]!oy-1)/3+1)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TRUNC(([0]!oy-1)/3+1)</definedName>
    <definedName name="lora" localSheetId="2">TRUNC(([0]!oy-1)/3+1)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'[7]Зан-ть(р-ны)'!$5:$5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'[7]Зан-ть(р-ны)'!$5:$5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[8]Store!$B$128</definedName>
    <definedName name="ProchieBox" localSheetId="3">#REF!</definedName>
    <definedName name="ProchieBox" localSheetId="2">#REF!</definedName>
    <definedName name="ProchieBox">#REF!</definedName>
    <definedName name="PROJNO">#N/A</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DATE([0]!yil,[0]!oy,1)</definedName>
    <definedName name="resp" localSheetId="2">DATE([0]!yil,[0]!oy,1)</definedName>
    <definedName name="resp">DATE([0]!yil,[0]!oy,1)</definedName>
    <definedName name="respub" localSheetId="3">#REF!</definedName>
    <definedName name="respub" localSheetId="2">#REF!</definedName>
    <definedName name="respub">#REF!</definedName>
    <definedName name="Results" localSheetId="3">[9]Results!#REF!</definedName>
    <definedName name="Results" localSheetId="2">[9]Results!#REF!</definedName>
    <definedName name="Results">[9]Results!#REF!</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DATE([0]!yil,[0]!oy,1)</definedName>
    <definedName name="sana" localSheetId="2">DATE([0]!yil,[0]!oy,1)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TRUNC(([0]!oy-1)/3+1)</definedName>
    <definedName name="sdfsdfsd" localSheetId="2">TRUNC(([0]!oy-1)/3+1)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DATE">#REF!</definedName>
    <definedName name="SulfatBox">#REF!</definedName>
    <definedName name="SUMMARY">#REF!</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[0]!дел/1000</definedName>
    <definedName name="total" localSheetId="1">[0]!дел/1000</definedName>
    <definedName name="total" localSheetId="2">[0]!дел/1000</definedName>
    <definedName name="total">[0]!дел/1000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[10]оборот!$A:$B,[10]оборот!$1:$1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43">'Форма-отчета 21'!$E$43</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'[11]Зан-ть(р-ны)'!$5:$5</definedName>
    <definedName name="ааа">'[12]Фориш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[13]База!$A$2:$A$16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DATE([0]!yil,[0]!oy,1)</definedName>
    <definedName name="акмал" localSheetId="2">DATE([0]!yil,[0]!oy,1)</definedName>
    <definedName name="акмал">DATE([0]!yil,[0]!oy,1)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DATE([0]!yil,[0]!oy,1)</definedName>
    <definedName name="ан" localSheetId="2">DATE([0]!yil,[0]!oy,1)</definedName>
    <definedName name="ан">DATE([0]!yil,[0]!oy,1)</definedName>
    <definedName name="анвар" localSheetId="3">#REF!</definedName>
    <definedName name="анвар" localSheetId="2">#REF!</definedName>
    <definedName name="анвар">#REF!</definedName>
    <definedName name="Анд" localSheetId="3">TRUNC(([0]!oy-1)/3+1)</definedName>
    <definedName name="Анд" localSheetId="2">TRUNC(([0]!oy-1)/3+1)</definedName>
    <definedName name="Анд">TRUNC((oy-1)/3+1)</definedName>
    <definedName name="Анди" localSheetId="3">TRUNC(([0]!oy-1)/3+1)</definedName>
    <definedName name="Анди" localSheetId="2">TRUNC(([0]!oy-1)/3+1)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'[14]Ер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TRUNC(([0]!oy-1)/3+1)</definedName>
    <definedName name="Бух" localSheetId="2">TRUNC(([0]!oy-1)/3+1)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[0]!дел/1000</definedName>
    <definedName name="вавававвав" localSheetId="1">[0]!дел/1000</definedName>
    <definedName name="вавававвав" localSheetId="2">[0]!дел/1000</definedName>
    <definedName name="вавававвав">[0]!дел/1000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TRUNC(([0]!oy-1)/3+1)</definedName>
    <definedName name="вфыв" localSheetId="2">TRUNC(([0]!oy-1)/3+1)</definedName>
    <definedName name="вфыв">TRUNC(([0]!oy-1)/3+1)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[15]режа!$A$1:$R$862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'[16]Фориш 2003'!$O$4</definedName>
    <definedName name="галлаааа">'[17]Фориш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'[18]Зан-ть(р-ны)'!$5:$5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TRUNC(([0]!oy-1)/3+1)</definedName>
    <definedName name="дддд" localSheetId="2">TRUNC(([0]!oy-1)/3+1)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[19]c!$C$1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TRUNC(([0]!oy-1)/3+1)</definedName>
    <definedName name="ЁГ" localSheetId="2">TRUNC(([0]!oy-1)/3+1)</definedName>
    <definedName name="ЁГ">TRUNC(([0]!oy-1)/3+1)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[20]фев!#REF!</definedName>
    <definedName name="земельный" localSheetId="2" hidden="1">[20]фев!#REF!</definedName>
    <definedName name="земельный" hidden="1">[20]фев!#REF!</definedName>
    <definedName name="зж" localSheetId="3">{30,140,350,160,"",""}</definedName>
    <definedName name="зж" localSheetId="2">{30,140,350,160,"",""}</definedName>
    <definedName name="зж">{30,140,350,160,"",""}</definedName>
    <definedName name="зол">[21]Input3!$C$9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'[14]Ер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TRUNC(([0]!oy-1)/3+1)</definedName>
    <definedName name="ййййййййййййййййййй" localSheetId="2">TRUNC(([0]!oy-1)/3+1)</definedName>
    <definedName name="ййййййййййййййййййй">TRUNC((oy-1)/3+1)</definedName>
    <definedName name="йййййййййййййййййййййййй" localSheetId="3">TRUNC(([0]!oy-1)/3+1)</definedName>
    <definedName name="йййййййййййййййййййййййй" localSheetId="2">TRUNC(([0]!oy-1)/3+1)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TRUNC(([0]!oy-1)/3+1)</definedName>
    <definedName name="Кашк" localSheetId="2">TRUNC(([0]!oy-1)/3+1)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'[18]Зан-ть(р-ны)'!$5:$5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DATE([0]!yil,[0]!oy,1)</definedName>
    <definedName name="книга10" localSheetId="2">DATE([0]!yil,[0]!oy,1)</definedName>
    <definedName name="книга10">DATE([0]!yil,[0]!oy,1)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DATE([0]!yil,[0]!oy,1)</definedName>
    <definedName name="кредит" localSheetId="2">DATE([0]!yil,[0]!oy,1)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'[22]Фориш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'[23]Зан-ть(р-ны)'!$5:$5</definedName>
    <definedName name="куш.жад" localSheetId="3">TRUNC(([0]!oy-1)/3+1)</definedName>
    <definedName name="куш.жад" localSheetId="2">TRUNC(([0]!oy-1)/3+1)</definedName>
    <definedName name="куш.жад">TRUNC(([0]!oy-1)/3+1)</definedName>
    <definedName name="кц" localSheetId="3">{30,140,350,160,"",""}</definedName>
    <definedName name="кц" localSheetId="2">{30,140,350,160,"",""}</definedName>
    <definedName name="кц">{30,140,350,160,"",""}</definedName>
    <definedName name="КЭ">#REF!</definedName>
    <definedName name="қвапп" localSheetId="3">DATE([0]!yil,[0]!oy,1)</definedName>
    <definedName name="қвапп" localSheetId="2">DATE([0]!yil,[0]!oy,1)</definedName>
    <definedName name="қвапп">DATE([0]!yil,[0]!oy,1)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TRUNC(([0]!oy-1)/3+1)</definedName>
    <definedName name="ликвид" localSheetId="2">TRUNC(([0]!oy-1)/3+1)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DATE([0]!yil,[0]!oy,1)</definedName>
    <definedName name="май" localSheetId="2">DATE([0]!yil,[0]!oy,1)</definedName>
    <definedName name="май">DATE([0]!yil,[0]!oy,1)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[24]s!$Q$124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[21]Input3!$C$7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'[25]Фориш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[21]Input3!$C$8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[26]Нарх!$A$1:$P$248</definedName>
    <definedName name="нояб" localSheetId="3">#REF!</definedName>
    <definedName name="нояб" localSheetId="2">#REF!</definedName>
    <definedName name="нояб">#REF!</definedName>
    <definedName name="нргшщ">#N/A</definedName>
    <definedName name="нук" localSheetId="3">TRUNC(([0]!oy-1)/3+1)</definedName>
    <definedName name="нук" localSheetId="2">TRUNC(([0]!oy-1)/3+1)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'БП-Eng'!$C$2:$N$191</definedName>
    <definedName name="_xlnm.Print_Area" localSheetId="1">ПаспортEng!$M$3:$W$48</definedName>
    <definedName name="_xlnm.Print_Area" localSheetId="0">ПаспортРУС!$Y$3:$AI$48</definedName>
    <definedName name="_xlnm.Print_Area" localSheetId="2">'Форма-отчета 21'!$C$2:$N$191</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'[27]Гай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'[27]Гай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TRUNC(([0]!oy-1)/3+1)</definedName>
    <definedName name="оооо" localSheetId="2">TRUNC(([0]!oy-1)/3+1)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[0]!_a1Z,[0]!_a2Z</definedName>
    <definedName name="отработано" localSheetId="1">[0]!_a1Z,[0]!_a2Z</definedName>
    <definedName name="отработано" localSheetId="2">[0]!_a1Z,[0]!_a2Z</definedName>
    <definedName name="отработано">[0]!_a1Z,[0]!_a2Z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'[28]Зан-ть(р-ны)'!$5:$5</definedName>
    <definedName name="Прил3" localSheetId="3">[0]!прилож3/1000</definedName>
    <definedName name="Прил3" localSheetId="1">[0]!прилож3/1000</definedName>
    <definedName name="Прил3" localSheetId="2">[0]!прилож3/1000</definedName>
    <definedName name="Прил3">[0]!прилож3/1000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Х">35000</definedName>
    <definedName name="прлордлюдл">#N/A</definedName>
    <definedName name="про" localSheetId="3">'[29]уюшмага10,09 холатига'!#REF!</definedName>
    <definedName name="про" localSheetId="2">'[29]уюшмага10,09 холатига'!#REF!</definedName>
    <definedName name="про">'[29]уюшмага10,09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TRUNC(([0]!oy-1)/3+1)</definedName>
    <definedName name="Прог" localSheetId="2">TRUNC(([0]!oy-1)/3+1)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TRUNC(([0]!oy-1)/3+1)</definedName>
    <definedName name="программа" localSheetId="2">TRUNC(([0]!oy-1)/3+1)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DATE([0]!yil,[0]!oy,1)</definedName>
    <definedName name="прокуратура" localSheetId="2">DATE([0]!yil,[0]!oy,1)</definedName>
    <definedName name="прокуратура">DATE([0]!yil,[0]!oy,1)</definedName>
    <definedName name="пром2">#N/A</definedName>
    <definedName name="прост" localSheetId="3">#REF!</definedName>
    <definedName name="прост" localSheetId="2">#REF!</definedName>
    <definedName name="прост">#REF!</definedName>
    <definedName name="проч" localSheetId="3">TRUNC(([0]!oy-1)/3+1)</definedName>
    <definedName name="проч" localSheetId="2">TRUNC(([0]!oy-1)/3+1)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[26]Пункт!$A$1:$B$9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[30]данные!$A$1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[31]База!$E$2:$E$5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TRUNC(([0]!oy-1)/3+1)</definedName>
    <definedName name="рес" localSheetId="2">TRUNC(([0]!oy-1)/3+1)</definedName>
    <definedName name="рес">TRUNC((oy-1)/3+1)</definedName>
    <definedName name="респ" localSheetId="3">TRUNC(([0]!oy-1)/3+1)</definedName>
    <definedName name="респ" localSheetId="2">TRUNC(([0]!oy-1)/3+1)</definedName>
    <definedName name="респ">TRUNC((oy-1)/3+1)</definedName>
    <definedName name="рл">#N/A</definedName>
    <definedName name="рлжлджролд">#N/A</definedName>
    <definedName name="рлр" localSheetId="3">TRUNC(([0]!oy-1)/3+1)</definedName>
    <definedName name="рлр" localSheetId="2">TRUNC(([0]!oy-1)/3+1)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TRUNC(([0]!oy-1)/3+1)</definedName>
    <definedName name="роопропроп" localSheetId="2">TRUNC(([0]!oy-1)/3+1)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DATE([0]!yil,[0]!oy,1)</definedName>
    <definedName name="роророрпорпо" localSheetId="2">DATE([0]!yil,[0]!oy,1)</definedName>
    <definedName name="роророрпорпо">DATE([0]!yil,[0]!oy,1)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[0]!дел/1000</definedName>
    <definedName name="рррррр" localSheetId="1">[0]!дел/1000</definedName>
    <definedName name="рррррр" localSheetId="2">[0]!дел/1000</definedName>
    <definedName name="рррррр">[0]!дел/1000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'[7]Зан-ть(р-ны)'!$5:$5</definedName>
    <definedName name="рынок">'[32]Зан-ть(р-ны)'!$5:$5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[33]Input3!$C$15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TRUNC(([0]!oy-1)/3+1)</definedName>
    <definedName name="Сфакторы" localSheetId="2">TRUNC(([0]!oy-1)/3+1)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TRUNC(([0]!oy-1)/3+1)</definedName>
    <definedName name="т" localSheetId="2">TRUNC(([0]!oy-1)/3+1)</definedName>
    <definedName name="т">TRUNC(([0]!oy-1)/3+1)</definedName>
    <definedName name="таксимот" localSheetId="3">#REF!</definedName>
    <definedName name="таксимот" localSheetId="2">#REF!</definedName>
    <definedName name="таксимот">#REF!</definedName>
    <definedName name="талаб" localSheetId="3">TRUNC(([0]!oy-1)/3+1)</definedName>
    <definedName name="талаб" localSheetId="2">TRUNC(([0]!oy-1)/3+1)</definedName>
    <definedName name="талаб">TRUNC(([0]!oy-1)/3+1)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[34]ном!#REF!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[9]Results!#REF!</definedName>
    <definedName name="тт" localSheetId="2">[9]Results!#REF!</definedName>
    <definedName name="тт">[9]Results!#REF!</definedName>
    <definedName name="ттт" localSheetId="3">#REF!</definedName>
    <definedName name="ттт" localSheetId="2">#REF!</definedName>
    <definedName name="ттт">#REF!</definedName>
    <definedName name="тттт" localSheetId="3">[0]!дел/1000</definedName>
    <definedName name="тттт" localSheetId="1">[0]!дел/1000</definedName>
    <definedName name="тттт" localSheetId="2">[0]!дел/1000</definedName>
    <definedName name="тттт">[0]!дел/1000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'[35]Зан-ть(р-ны)'!$5:$5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[0]!дел/1000</definedName>
    <definedName name="ууууу" localSheetId="1">[0]!дел/1000</definedName>
    <definedName name="ууууу" localSheetId="2">[0]!дел/1000</definedName>
    <definedName name="ууууу">[0]!дел/1000</definedName>
    <definedName name="уууууууууууууууууу" localSheetId="3">DATE([0]!yil,[0]!oy,1)</definedName>
    <definedName name="уууууууууууууууууу" localSheetId="2">DATE([0]!yil,[0]!oy,1)</definedName>
    <definedName name="уууууууууууууууууу">DATE(yil,oy,1)</definedName>
    <definedName name="уууууууууууууууууууу" localSheetId="3">TRUNC(([0]!oy-1)/3+1)</definedName>
    <definedName name="уууууууууууууууууууу" localSheetId="2">TRUNC(([0]!oy-1)/3+1)</definedName>
    <definedName name="уууууууууууууууууууу">TRUNC((oy-1)/3+1)</definedName>
    <definedName name="ууууууууууууууууууууу" localSheetId="3">TRUNC(([0]!oy-1)/3+1)</definedName>
    <definedName name="ууууууууууууууууууууу" localSheetId="2">TRUNC(([0]!oy-1)/3+1)</definedName>
    <definedName name="ууууууууууууууууууууу">TRUNC((oy-1)/3+1)</definedName>
    <definedName name="ууууууууууууууууууууууу" localSheetId="3">TRUNC(([0]!oy-1)/3+1)</definedName>
    <definedName name="ууууууууууууууууууууууу" localSheetId="2">TRUNC(([0]!oy-1)/3+1)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TRUNC(([0]!oy-1)/3+1)</definedName>
    <definedName name="Факторы" localSheetId="2">TRUNC(([0]!oy-1)/3+1)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TRUNC(([0]!oy-1)/3+1)</definedName>
    <definedName name="февраль_фактор" localSheetId="2">TRUNC(([0]!oy-1)/3+1)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'[36]Фориш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TRUNC(([0]!oy-1)/3+1)</definedName>
    <definedName name="фыы" localSheetId="2">TRUNC(([0]!oy-1)/3+1)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[13]База!$C$2:$C$15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TRUNC(([0]!oy-1)/3+1)</definedName>
    <definedName name="ыпыв" localSheetId="2">TRUNC(([0]!oy-1)/3+1)</definedName>
    <definedName name="ыпыв">TRUNC(([0]!oy-1)/3+1)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TRUNC(([0]!oy-1)/3+1)</definedName>
    <definedName name="ыцйц" localSheetId="2">TRUNC(([0]!oy-1)/3+1)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TRUNC(([0]!oy-1)/3+1)</definedName>
    <definedName name="ыыыыыыыыыы" localSheetId="2">TRUNC(([0]!oy-1)/3+1)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TRUNC(([0]!oy-1)/3+1)</definedName>
    <definedName name="ьььь" localSheetId="2">TRUNC(([0]!oy-1)/3+1)</definedName>
    <definedName name="ьььь">TRUNC((oy-1)/3+1)</definedName>
    <definedName name="э" localSheetId="3">DATE([0]!yil,[0]!oy,1)</definedName>
    <definedName name="э" localSheetId="2">DATE([0]!yil,[0]!oy,1)</definedName>
    <definedName name="э">DATE(yil,oy,1)</definedName>
    <definedName name="экс" localSheetId="3">TRUNC(([0]!oy-1)/3+1)</definedName>
    <definedName name="экс" localSheetId="2">TRUNC(([0]!oy-1)/3+1)</definedName>
    <definedName name="экс">TRUNC((oy-1)/3+1)</definedName>
    <definedName name="экспор" localSheetId="3">TRUNC(([0]!oy-1)/3+1)</definedName>
    <definedName name="экспор" localSheetId="2">TRUNC(([0]!oy-1)/3+1)</definedName>
    <definedName name="экспор">TRUNC((oy-1)/3+1)</definedName>
    <definedName name="экспорт" localSheetId="3">TRUNC(([0]!oy-1)/3+1)</definedName>
    <definedName name="экспорт" localSheetId="2">TRUNC(([0]!oy-1)/3+1)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[0]!_a1Z,[0]!_a2Z</definedName>
    <definedName name="시설투자" localSheetId="1">[0]!_a1Z,[0]!_a2Z</definedName>
    <definedName name="시설투자" localSheetId="2">[0]!_a1Z,[0]!_a2Z</definedName>
    <definedName name="시설투자">[0]!_a1Z,[0]!_a2Z</definedName>
    <definedName name="시설투자2" localSheetId="3">[0]!_a1Z,[0]!_a2Z</definedName>
    <definedName name="시설투자2" localSheetId="1">[0]!_a1Z,[0]!_a2Z</definedName>
    <definedName name="시설투자2" localSheetId="2">[0]!_a1Z,[0]!_a2Z</definedName>
    <definedName name="시설투자2">[0]!_a1Z,[0]!_a2Z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[0]!_a1Z,[0]!_a2Z</definedName>
    <definedName name="커버" localSheetId="1">[0]!_a1Z,[0]!_a2Z</definedName>
    <definedName name="커버" localSheetId="2">[0]!_a1Z,[0]!_a2Z</definedName>
    <definedName name="커버">[0]!_a1Z,[0]!_a2Z</definedName>
    <definedName name="템플리트모듈1" localSheetId="3">[0]!BlankMacro1</definedName>
    <definedName name="템플리트모듈1" localSheetId="1">[0]!BlankMacro1</definedName>
    <definedName name="템플리트모듈1" localSheetId="2">[0]!BlankMacro1</definedName>
    <definedName name="템플리트모듈1">[0]!BlankMacro1</definedName>
    <definedName name="템플리트모듈2" localSheetId="3">[0]!BlankMacro1</definedName>
    <definedName name="템플리트모듈2" localSheetId="1">[0]!BlankMacro1</definedName>
    <definedName name="템플리트모듈2" localSheetId="2">[0]!BlankMacro1</definedName>
    <definedName name="템플리트모듈2">[0]!BlankMacro1</definedName>
    <definedName name="템플리트모듈3" localSheetId="3">[0]!BlankMacro1</definedName>
    <definedName name="템플리트모듈3" localSheetId="1">[0]!BlankMacro1</definedName>
    <definedName name="템플리트모듈3" localSheetId="2">[0]!BlankMacro1</definedName>
    <definedName name="템플리트모듈3">[0]!BlankMacro1</definedName>
    <definedName name="템플리트모듈4" localSheetId="3">[0]!BlankMacro1</definedName>
    <definedName name="템플리트모듈4" localSheetId="1">[0]!BlankMacro1</definedName>
    <definedName name="템플리트모듈4" localSheetId="2">[0]!BlankMacro1</definedName>
    <definedName name="템플리트모듈4">[0]!BlankMacro1</definedName>
    <definedName name="템플리트모듈5" localSheetId="3">[0]!BlankMacro1</definedName>
    <definedName name="템플리트모듈5" localSheetId="1">[0]!BlankMacro1</definedName>
    <definedName name="템플리트모듈5" localSheetId="2">[0]!BlankMacro1</definedName>
    <definedName name="템플리트모듈5">[0]!BlankMacro1</definedName>
    <definedName name="템플리트모듈6" localSheetId="3">[0]!BlankMacro1</definedName>
    <definedName name="템플리트모듈6" localSheetId="1">[0]!BlankMacro1</definedName>
    <definedName name="템플리트모듈6" localSheetId="2">[0]!BlankMacro1</definedName>
    <definedName name="템플리트모듈6">[0]!BlankMacro1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48" i="4" l="1"/>
  <c r="AC46" i="4"/>
  <c r="AC45" i="4"/>
  <c r="Z45" i="4"/>
  <c r="AC44" i="4"/>
  <c r="Z44" i="4"/>
  <c r="Z43" i="4"/>
  <c r="Z42" i="4"/>
  <c r="Z41" i="4"/>
  <c r="AG40" i="4"/>
  <c r="AE40" i="4"/>
  <c r="AB40" i="4"/>
  <c r="Z40" i="4"/>
  <c r="U40" i="4"/>
  <c r="S40" i="4"/>
  <c r="P40" i="4"/>
  <c r="N40" i="4"/>
  <c r="AC30" i="4"/>
  <c r="AC28" i="4"/>
  <c r="AA13" i="4"/>
  <c r="AA12" i="4"/>
  <c r="AA11" i="4"/>
  <c r="Z10" i="4"/>
  <c r="N10" i="4"/>
  <c r="Z9" i="4"/>
  <c r="N9" i="4"/>
  <c r="Z8" i="4"/>
  <c r="N8" i="4"/>
  <c r="Y7" i="4"/>
  <c r="M7" i="4"/>
  <c r="A7" i="4"/>
  <c r="W4" i="4"/>
  <c r="Q46" i="3"/>
  <c r="Z45" i="3"/>
  <c r="Q45" i="3"/>
  <c r="Z44" i="3"/>
  <c r="Q44" i="3"/>
  <c r="N43" i="3"/>
  <c r="N42" i="3"/>
  <c r="N41" i="3"/>
  <c r="AG40" i="3"/>
  <c r="AE40" i="3"/>
  <c r="AB40" i="3"/>
  <c r="Z40" i="3"/>
  <c r="Q30" i="3"/>
  <c r="Q28" i="3"/>
  <c r="O13" i="3"/>
  <c r="O12" i="3"/>
  <c r="AA11" i="3"/>
  <c r="O11" i="4" s="1"/>
  <c r="O11" i="3"/>
  <c r="Z10" i="3"/>
  <c r="N10" i="3"/>
  <c r="Z9" i="3"/>
  <c r="N9" i="3"/>
  <c r="Z8" i="3"/>
  <c r="N8" i="3"/>
  <c r="Y7" i="3"/>
  <c r="M7" i="3"/>
  <c r="A7" i="3"/>
  <c r="E179" i="2"/>
  <c r="E178" i="2"/>
  <c r="E177" i="2"/>
  <c r="E176" i="2"/>
  <c r="E175" i="2"/>
  <c r="E174" i="2"/>
  <c r="E173" i="2"/>
  <c r="N172" i="2"/>
  <c r="N171" i="2" s="1"/>
  <c r="M172" i="2"/>
  <c r="L172" i="2"/>
  <c r="K172" i="2"/>
  <c r="K171" i="2" s="1"/>
  <c r="J172" i="2"/>
  <c r="I172" i="2"/>
  <c r="H172" i="2"/>
  <c r="G172" i="2"/>
  <c r="F172" i="2"/>
  <c r="E172" i="2"/>
  <c r="E171" i="2" s="1"/>
  <c r="L171" i="2"/>
  <c r="I171" i="2"/>
  <c r="F171" i="2"/>
  <c r="N170" i="2"/>
  <c r="M170" i="2"/>
  <c r="M171" i="2" s="1"/>
  <c r="L170" i="2"/>
  <c r="K170" i="2"/>
  <c r="J170" i="2"/>
  <c r="J171" i="2" s="1"/>
  <c r="I170" i="2"/>
  <c r="H170" i="2"/>
  <c r="H171" i="2" s="1"/>
  <c r="G170" i="2"/>
  <c r="G171" i="2" s="1"/>
  <c r="F170" i="2"/>
  <c r="E170" i="2"/>
  <c r="E167" i="2"/>
  <c r="E166" i="2"/>
  <c r="E165" i="2"/>
  <c r="E164" i="2"/>
  <c r="M163" i="2"/>
  <c r="L163" i="2"/>
  <c r="K163" i="2"/>
  <c r="H163" i="2"/>
  <c r="G163" i="2"/>
  <c r="F163" i="2"/>
  <c r="E163" i="2"/>
  <c r="M162" i="2"/>
  <c r="L162" i="2"/>
  <c r="K162" i="2"/>
  <c r="H162" i="2"/>
  <c r="G162" i="2"/>
  <c r="F162" i="2"/>
  <c r="E162" i="2"/>
  <c r="M161" i="2"/>
  <c r="L161" i="2"/>
  <c r="K161" i="2"/>
  <c r="H161" i="2"/>
  <c r="G161" i="2"/>
  <c r="F161" i="2"/>
  <c r="E161" i="2"/>
  <c r="M160" i="2"/>
  <c r="L160" i="2"/>
  <c r="K160" i="2"/>
  <c r="H160" i="2"/>
  <c r="G160" i="2"/>
  <c r="F160" i="2"/>
  <c r="E160" i="2"/>
  <c r="M159" i="2"/>
  <c r="L159" i="2"/>
  <c r="K159" i="2"/>
  <c r="H159" i="2"/>
  <c r="G159" i="2"/>
  <c r="F159" i="2"/>
  <c r="E159" i="2"/>
  <c r="M158" i="2"/>
  <c r="L158" i="2"/>
  <c r="K158" i="2"/>
  <c r="H158" i="2"/>
  <c r="G158" i="2"/>
  <c r="F158" i="2"/>
  <c r="E158" i="2"/>
  <c r="M157" i="2"/>
  <c r="L157" i="2"/>
  <c r="K157" i="2"/>
  <c r="H157" i="2"/>
  <c r="G157" i="2"/>
  <c r="F157" i="2"/>
  <c r="E157" i="2"/>
  <c r="M156" i="2"/>
  <c r="L156" i="2"/>
  <c r="K156" i="2"/>
  <c r="H156" i="2"/>
  <c r="G156" i="2"/>
  <c r="F156" i="2"/>
  <c r="E156" i="2"/>
  <c r="M155" i="2"/>
  <c r="L155" i="2"/>
  <c r="K155" i="2"/>
  <c r="H155" i="2"/>
  <c r="G155" i="2"/>
  <c r="F155" i="2"/>
  <c r="E155" i="2"/>
  <c r="M154" i="2"/>
  <c r="L154" i="2"/>
  <c r="K154" i="2"/>
  <c r="H154" i="2"/>
  <c r="G154" i="2"/>
  <c r="F154" i="2"/>
  <c r="E154" i="2"/>
  <c r="M153" i="2"/>
  <c r="L153" i="2"/>
  <c r="K153" i="2"/>
  <c r="H153" i="2"/>
  <c r="G153" i="2"/>
  <c r="F153" i="2"/>
  <c r="E153" i="2"/>
  <c r="M152" i="2"/>
  <c r="L152" i="2"/>
  <c r="K152" i="2"/>
  <c r="H152" i="2"/>
  <c r="G152" i="2"/>
  <c r="F152" i="2"/>
  <c r="E152" i="2"/>
  <c r="E150" i="2"/>
  <c r="E6" i="2" s="1"/>
  <c r="E148" i="2"/>
  <c r="E129" i="2"/>
  <c r="E128" i="2"/>
  <c r="I123" i="2"/>
  <c r="E123" i="2"/>
  <c r="E122" i="2"/>
  <c r="N119" i="2"/>
  <c r="L119" i="2"/>
  <c r="E112" i="2"/>
  <c r="E144" i="2" s="1"/>
  <c r="E110" i="2"/>
  <c r="I98" i="2"/>
  <c r="E111" i="2" s="1"/>
  <c r="E98" i="2"/>
  <c r="I96" i="2"/>
  <c r="I109" i="2" s="1"/>
  <c r="E96" i="2"/>
  <c r="E109" i="2" s="1"/>
  <c r="J91" i="2"/>
  <c r="H85" i="2"/>
  <c r="G84" i="2"/>
  <c r="G83" i="2"/>
  <c r="G82" i="2"/>
  <c r="G81" i="2"/>
  <c r="G80" i="2"/>
  <c r="G85" i="2" s="1"/>
  <c r="E86" i="2" s="1"/>
  <c r="H71" i="2"/>
  <c r="H70" i="2"/>
  <c r="H69" i="2"/>
  <c r="H68" i="2"/>
  <c r="H67" i="2"/>
  <c r="E78" i="2" s="1"/>
  <c r="J58" i="2"/>
  <c r="H58" i="2"/>
  <c r="G58" i="2"/>
  <c r="E58" i="2"/>
  <c r="E56" i="2"/>
  <c r="H53" i="2"/>
  <c r="H52" i="2"/>
  <c r="E46" i="2"/>
  <c r="E45" i="2"/>
  <c r="E44" i="2"/>
  <c r="E59" i="2" s="1"/>
  <c r="E62" i="2" s="1"/>
  <c r="E63" i="2" s="1"/>
  <c r="E38" i="2"/>
  <c r="J34" i="2"/>
  <c r="I63" i="2" s="1"/>
  <c r="E34" i="2"/>
  <c r="E37" i="2" s="1"/>
  <c r="F120" i="2" s="1"/>
  <c r="E9" i="2"/>
  <c r="Q1" i="2"/>
  <c r="E179" i="1"/>
  <c r="E177" i="1"/>
  <c r="E176" i="1"/>
  <c r="Z43" i="3" s="1"/>
  <c r="N43" i="4" s="1"/>
  <c r="E175" i="1"/>
  <c r="Z42" i="3" s="1"/>
  <c r="N42" i="4" s="1"/>
  <c r="E174" i="1"/>
  <c r="Z41" i="3" s="1"/>
  <c r="N41" i="4" s="1"/>
  <c r="E173" i="1"/>
  <c r="AA13" i="3" s="1"/>
  <c r="O13" i="4" s="1"/>
  <c r="N172" i="1"/>
  <c r="M172" i="1"/>
  <c r="M171" i="1" s="1"/>
  <c r="L172" i="1"/>
  <c r="K172" i="1"/>
  <c r="J172" i="1"/>
  <c r="I172" i="1"/>
  <c r="H172" i="1"/>
  <c r="G172" i="1"/>
  <c r="G171" i="1" s="1"/>
  <c r="F172" i="1"/>
  <c r="E172" i="1"/>
  <c r="N171" i="1"/>
  <c r="K171" i="1"/>
  <c r="H171" i="1"/>
  <c r="E171" i="1"/>
  <c r="N170" i="1"/>
  <c r="M170" i="1"/>
  <c r="L170" i="1"/>
  <c r="L171" i="1" s="1"/>
  <c r="K170" i="1"/>
  <c r="J170" i="1"/>
  <c r="J171" i="1" s="1"/>
  <c r="I170" i="1"/>
  <c r="I171" i="1" s="1"/>
  <c r="H170" i="1"/>
  <c r="G170" i="1"/>
  <c r="F170" i="1"/>
  <c r="F171" i="1" s="1"/>
  <c r="E170" i="1"/>
  <c r="E167" i="1"/>
  <c r="AC46" i="3" s="1"/>
  <c r="Q46" i="4" s="1"/>
  <c r="E166" i="1"/>
  <c r="AC45" i="3" s="1"/>
  <c r="Q45" i="4" s="1"/>
  <c r="E165" i="1"/>
  <c r="AC44" i="3" s="1"/>
  <c r="Q44" i="4" s="1"/>
  <c r="E164" i="1"/>
  <c r="M163" i="1"/>
  <c r="L163" i="1"/>
  <c r="K163" i="1"/>
  <c r="H163" i="1"/>
  <c r="G163" i="1"/>
  <c r="F163" i="1"/>
  <c r="E163" i="1"/>
  <c r="D163" i="1"/>
  <c r="M162" i="1"/>
  <c r="L162" i="1"/>
  <c r="K162" i="1"/>
  <c r="H162" i="1"/>
  <c r="G162" i="1"/>
  <c r="F162" i="1"/>
  <c r="E162" i="1"/>
  <c r="D162" i="1"/>
  <c r="M161" i="1"/>
  <c r="L161" i="1"/>
  <c r="K161" i="1"/>
  <c r="H161" i="1"/>
  <c r="G161" i="1"/>
  <c r="F161" i="1"/>
  <c r="E161" i="1"/>
  <c r="D161" i="1"/>
  <c r="M160" i="1"/>
  <c r="L160" i="1"/>
  <c r="K160" i="1"/>
  <c r="H160" i="1"/>
  <c r="G160" i="1"/>
  <c r="F160" i="1"/>
  <c r="E160" i="1"/>
  <c r="D160" i="1"/>
  <c r="M159" i="1"/>
  <c r="L159" i="1"/>
  <c r="K159" i="1"/>
  <c r="H159" i="1"/>
  <c r="G159" i="1"/>
  <c r="F159" i="1"/>
  <c r="E159" i="1"/>
  <c r="D159" i="1"/>
  <c r="M158" i="1"/>
  <c r="L158" i="1"/>
  <c r="K158" i="1"/>
  <c r="H158" i="1"/>
  <c r="G158" i="1"/>
  <c r="F158" i="1"/>
  <c r="E158" i="1"/>
  <c r="D158" i="1"/>
  <c r="M157" i="1"/>
  <c r="L157" i="1"/>
  <c r="K157" i="1"/>
  <c r="H157" i="1"/>
  <c r="G157" i="1"/>
  <c r="F157" i="1"/>
  <c r="E157" i="1"/>
  <c r="D157" i="1"/>
  <c r="M156" i="1"/>
  <c r="L156" i="1"/>
  <c r="K156" i="1"/>
  <c r="H156" i="1"/>
  <c r="G156" i="1"/>
  <c r="F156" i="1"/>
  <c r="E156" i="1"/>
  <c r="D156" i="1"/>
  <c r="M155" i="1"/>
  <c r="L155" i="1"/>
  <c r="K155" i="1"/>
  <c r="H155" i="1"/>
  <c r="G155" i="1"/>
  <c r="F155" i="1"/>
  <c r="E155" i="1"/>
  <c r="D155" i="1"/>
  <c r="M154" i="1"/>
  <c r="L154" i="1"/>
  <c r="K154" i="1"/>
  <c r="H154" i="1"/>
  <c r="G154" i="1"/>
  <c r="F154" i="1"/>
  <c r="E154" i="1"/>
  <c r="D154" i="1"/>
  <c r="M153" i="1"/>
  <c r="L153" i="1"/>
  <c r="K153" i="1"/>
  <c r="H153" i="1"/>
  <c r="G153" i="1"/>
  <c r="F153" i="1"/>
  <c r="E153" i="1"/>
  <c r="D153" i="1"/>
  <c r="M152" i="1"/>
  <c r="L152" i="1"/>
  <c r="K152" i="1"/>
  <c r="H152" i="1"/>
  <c r="G152" i="1"/>
  <c r="F152" i="1"/>
  <c r="E152" i="1"/>
  <c r="D152" i="1"/>
  <c r="M151" i="1"/>
  <c r="L151" i="1"/>
  <c r="K151" i="1"/>
  <c r="H151" i="1"/>
  <c r="G151" i="1"/>
  <c r="F151" i="1"/>
  <c r="E151" i="1"/>
  <c r="D151" i="1"/>
  <c r="E150" i="1"/>
  <c r="E178" i="1" s="1"/>
  <c r="E148" i="1"/>
  <c r="E137" i="1"/>
  <c r="E128" i="1"/>
  <c r="I123" i="1"/>
  <c r="G123" i="1"/>
  <c r="E123" i="1"/>
  <c r="E122" i="1"/>
  <c r="N120" i="1"/>
  <c r="L120" i="1"/>
  <c r="J120" i="1"/>
  <c r="I120" i="1"/>
  <c r="F120" i="1"/>
  <c r="E120" i="1"/>
  <c r="N119" i="1"/>
  <c r="L119" i="1"/>
  <c r="J119" i="1"/>
  <c r="E119" i="1"/>
  <c r="E112" i="1"/>
  <c r="E144" i="1" s="1"/>
  <c r="E111" i="1"/>
  <c r="E110" i="1"/>
  <c r="E109" i="1"/>
  <c r="I98" i="1"/>
  <c r="E98" i="1"/>
  <c r="I96" i="1"/>
  <c r="I109" i="1" s="1"/>
  <c r="E96" i="1"/>
  <c r="J91" i="1"/>
  <c r="H85" i="1"/>
  <c r="G84" i="1"/>
  <c r="D84" i="1"/>
  <c r="G83" i="1"/>
  <c r="D83" i="1"/>
  <c r="G82" i="1"/>
  <c r="D82" i="1"/>
  <c r="G81" i="1"/>
  <c r="D81" i="1"/>
  <c r="G80" i="1"/>
  <c r="G85" i="1" s="1"/>
  <c r="E86" i="1" s="1"/>
  <c r="D80" i="1"/>
  <c r="E78" i="1"/>
  <c r="E90" i="1" s="1"/>
  <c r="H71" i="1"/>
  <c r="H70" i="1"/>
  <c r="H69" i="1"/>
  <c r="H68" i="1"/>
  <c r="H67" i="1"/>
  <c r="F63" i="1"/>
  <c r="G62" i="1"/>
  <c r="G63" i="1" s="1"/>
  <c r="G59" i="1"/>
  <c r="G58" i="1"/>
  <c r="E58" i="1"/>
  <c r="G57" i="1"/>
  <c r="E57" i="1"/>
  <c r="E56" i="1"/>
  <c r="H53" i="1"/>
  <c r="H52" i="1"/>
  <c r="E45" i="1"/>
  <c r="E46" i="1" s="1"/>
  <c r="E48" i="1" s="1"/>
  <c r="J90" i="1" s="1"/>
  <c r="E44" i="1"/>
  <c r="E59" i="1" s="1"/>
  <c r="E62" i="1" s="1"/>
  <c r="E63" i="1" s="1"/>
  <c r="E43" i="1"/>
  <c r="J36" i="1"/>
  <c r="J38" i="1" s="1"/>
  <c r="E36" i="1"/>
  <c r="E38" i="1" s="1"/>
  <c r="E35" i="1"/>
  <c r="J34" i="1"/>
  <c r="E34" i="1"/>
  <c r="E9" i="1"/>
  <c r="D9" i="1"/>
  <c r="Q1" i="1"/>
  <c r="E145" i="2" l="1"/>
  <c r="E143" i="2" s="1"/>
  <c r="E8" i="1"/>
  <c r="E90" i="2"/>
  <c r="E64" i="1"/>
  <c r="E39" i="2"/>
  <c r="E145" i="1"/>
  <c r="E143" i="1"/>
  <c r="E39" i="1"/>
  <c r="H62" i="2"/>
  <c r="H63" i="2" s="1"/>
  <c r="G59" i="2"/>
  <c r="G62" i="2" s="1"/>
  <c r="G63" i="2" s="1"/>
  <c r="E6" i="1"/>
  <c r="H59" i="2"/>
  <c r="P46" i="1"/>
  <c r="J37" i="2"/>
  <c r="L120" i="2" s="1"/>
  <c r="N120" i="2" s="1"/>
  <c r="J59" i="2"/>
  <c r="J62" i="2" s="1"/>
  <c r="J63" i="2" s="1"/>
  <c r="F63" i="2"/>
  <c r="E64" i="2" s="1"/>
  <c r="AA12" i="3"/>
  <c r="O12" i="4" s="1"/>
  <c r="E48" i="2"/>
  <c r="J90" i="2" s="1"/>
  <c r="J38" i="2"/>
  <c r="E7" i="2" l="1"/>
  <c r="E92" i="2"/>
  <c r="J92" i="1"/>
  <c r="E92" i="1"/>
  <c r="E7" i="1"/>
  <c r="E8" i="2"/>
  <c r="J92" i="2"/>
</calcChain>
</file>

<file path=xl/sharedStrings.xml><?xml version="1.0" encoding="utf-8"?>
<sst xmlns="http://schemas.openxmlformats.org/spreadsheetml/2006/main" count="1112" uniqueCount="623">
  <si>
    <t>Курс СКВ</t>
  </si>
  <si>
    <t>Бизнес план</t>
  </si>
  <si>
    <t>Переработка резинотехнических отходов</t>
  </si>
  <si>
    <t>Проект</t>
  </si>
  <si>
    <t>Цель проекта</t>
  </si>
  <si>
    <t>Переработка резинотехнических отходов и производство резиновых изделий</t>
  </si>
  <si>
    <t>Стоимость проекта, $</t>
  </si>
  <si>
    <t>Выручка при полной мощности, $</t>
  </si>
  <si>
    <t>Спрос на продукцию проекта на рынке, $</t>
  </si>
  <si>
    <t>Место размещения</t>
  </si>
  <si>
    <t>Города Республики Узбекистан</t>
  </si>
  <si>
    <t>Инициатор проекта (местный инвестор)</t>
  </si>
  <si>
    <t>Отрасль сфера существующей деятельности инициатора</t>
  </si>
  <si>
    <t>Финансовые возможности, уставный капитал, задолженности</t>
  </si>
  <si>
    <t xml:space="preserve">Контакты </t>
  </si>
  <si>
    <t>Обоснование выбора инициатора:</t>
  </si>
  <si>
    <t>Будет уточнено</t>
  </si>
  <si>
    <t>Наличие достаточного опыта в реализации аналогичных проектов</t>
  </si>
  <si>
    <t>Наличие достаточных собственных средств, недвижимости</t>
  </si>
  <si>
    <t>Наличие квалифицированных работников для реализации проекта</t>
  </si>
  <si>
    <t xml:space="preserve">Наличие у инициатора дистрибьютерских сети для реализации продукции </t>
  </si>
  <si>
    <t>Прочие данные об инициаторе</t>
  </si>
  <si>
    <t xml:space="preserve">Продукция </t>
  </si>
  <si>
    <t>Номенклатура продукции</t>
  </si>
  <si>
    <t>Наименование продукции</t>
  </si>
  <si>
    <t>Резиновая крошка</t>
  </si>
  <si>
    <t>Резиновая плитка 40 мм (1 кв.м)</t>
  </si>
  <si>
    <t>Фото, эскиз</t>
  </si>
  <si>
    <t>Свойства готовой продукции:</t>
  </si>
  <si>
    <r>
      <rPr>
        <b/>
        <sz val="12"/>
        <rFont val="Arial"/>
        <family val="2"/>
        <charset val="204"/>
      </rPr>
      <t>Резиновая крошка —</t>
    </r>
    <r>
      <rPr>
        <sz val="12"/>
        <rFont val="Arial"/>
        <family val="2"/>
        <charset val="204"/>
      </rPr>
      <t xml:space="preserve"> совокупность частиц измельчённой резины различной дисперсности и разнообразной формы, которые характеризуются, прежде всего тем, что сохраняют в своей основе молекулярную структуру и эластомерные свойства исходной резины, а поверхность частиц может быть активирована для придания особых свойств резиновой крошке, либо путём частичной девулканизации приповерхностного слоя частиц, либо модификацией поверхности частиц химической или физико-химической обработкой.</t>
    </r>
  </si>
  <si>
    <r>
      <rPr>
        <b/>
        <sz val="12"/>
        <rFont val="Arial"/>
        <family val="2"/>
        <charset val="204"/>
      </rPr>
      <t>Резиновая плитка</t>
    </r>
    <r>
      <rPr>
        <sz val="12"/>
        <rFont val="Arial"/>
        <family val="2"/>
        <charset val="204"/>
      </rPr>
      <t xml:space="preserve"> — напольное покрытие, произведенное на основе измельченной резины (резиновая крошка) и полиуретанового связующего клея. Широко используется в качестве травмобезопасных покрытий для детских и спортивных площадок.езиновая плитка отличается по форме и толщине. Наиболее популярной является плитка формы 1000—1000 мм и 500—500 мм, но бывает резиновая плитка в форме брусчатки. Встречаются и нестандартные формы, например, плиты в форме «Пазл» имеющие замки по периметру, обеспечивающие соединение плит между собой. Толщина резиновой плитки может быть от 10—45 мм. Форма резиновой плитки не влияет на ее характеристики, а вот выбор толщины определяет область эксплуатации и способ укладки.</t>
    </r>
  </si>
  <si>
    <t>Область применения</t>
  </si>
  <si>
    <r>
      <rPr>
        <b/>
        <sz val="13"/>
        <rFont val="Arial"/>
        <family val="2"/>
        <charset val="204"/>
      </rPr>
      <t>Резиновая крошка</t>
    </r>
    <r>
      <rPr>
        <sz val="13"/>
        <rFont val="Arial"/>
        <family val="2"/>
        <charset val="204"/>
      </rPr>
      <t xml:space="preserve"> является одним из продуктов переработки вторичного резинового сырья (отходы резины, включая старые шины). Основным сырьём для получения резиновой крошки, следует считать изношенные покрышки, так как более половины вырабатываемой резины в мире используется в производстве шин.Основной областью применения резиновой плитки является использование в качестве травмобезопасного покрытия для детских и спортивных площадок. Однако, благодаря своим универсальным свойствам и характеристикам, резиновая плитка все чаще находит применение и в других сферах. Покрытие из резиновых плит идеально подходит для спортивных залов, в качестве покрытия пола в тренажерных залах и фитнес-клубах. Нередко резиновую плитку используют на ледовых аренах и катках. </t>
    </r>
  </si>
  <si>
    <t>Формы упаковки и транспортировки</t>
  </si>
  <si>
    <t xml:space="preserve"> Для транспортировки используется Упаковка - мешки 25 кг</t>
  </si>
  <si>
    <t>Наличие документов стандартизации (ГОСТы, ТУ и др. код ТН ВЭД)</t>
  </si>
  <si>
    <t xml:space="preserve">ТН ВЭД 4016 91 000 0 –– покрытия напольные и коврики. ГОСТ Россия ЕН 1177-2013 предъявляет основные требования к покрытию детских площадок на травмобезопасность. Данный стандарт базируется на требованиях безопасности, установленных европейским региональным стандартом ЕН 1176-1 и идентичен европейскому стандарту ЕН 1177:2008 «Покрытия игровых площадок, поглощающие удар. </t>
  </si>
  <si>
    <t>Прочие свойства</t>
  </si>
  <si>
    <t>Производители аналогичной продукции, бренды и торговые знаки</t>
  </si>
  <si>
    <t>RUBBER PRODUCT
Производство плитки из резиновой крошки в Ташкенте. КОМПАНИЯ “AMADINA" в Ташкенте.</t>
  </si>
  <si>
    <t>Оптовые цены на готовую продукцию на рынке в среднем  $/ изд., кв.м.</t>
  </si>
  <si>
    <t>Общая мощность, тонна  в год</t>
  </si>
  <si>
    <t>Проектная мощность, тонн./год  -  кв.м/год</t>
  </si>
  <si>
    <t>Спрос</t>
  </si>
  <si>
    <t>Узбекистан</t>
  </si>
  <si>
    <t>Перечень потребителей продукции или услуги</t>
  </si>
  <si>
    <t>Строительство и благоустройства</t>
  </si>
  <si>
    <t>Прогноз потребности жилых домов</t>
  </si>
  <si>
    <t>Требования к детским площадкам на придомовой территории (кв.м)</t>
  </si>
  <si>
    <t>Количество построенных новых домов (шт\год)</t>
  </si>
  <si>
    <t>Объем использование на местном рынке, тонна</t>
  </si>
  <si>
    <t>Прогноз повышения потребления, спроса</t>
  </si>
  <si>
    <t>Спрос на продукцию проекта на этом рынке, $</t>
  </si>
  <si>
    <t>Дополнительный анализ статистической информации (импорт/экспорт, объем производства, статистика цен и др.)  в Узбекистане</t>
  </si>
  <si>
    <t>Наименование</t>
  </si>
  <si>
    <t>2019 год</t>
  </si>
  <si>
    <t xml:space="preserve">Объем импорта продукции проекта (Узбекистан), $, (для прогноза импортзамещения) </t>
  </si>
  <si>
    <t xml:space="preserve">Объем экспорта продукции проекта (Узбекистан),. $ (для выявления зарубежных импортеров) </t>
  </si>
  <si>
    <t>Какие льготы и преференции, а также законы и правила применяются для проекта</t>
  </si>
  <si>
    <t>Преференции и льготы для производителей, включая освобождение от налоговых и таможенных платежей на срок до 10 лет, в зависимости от объема инвестиций.</t>
  </si>
  <si>
    <t xml:space="preserve">Страны СНГ (такие как Россия, Беларусия, Казахстан и др.) и соседние страны (Афганистан, Китай, Иран, и др.) </t>
  </si>
  <si>
    <t>Перечень страны</t>
  </si>
  <si>
    <t>Оптимальным размером площадки (кв)</t>
  </si>
  <si>
    <t>Объем аналогичных производств данной продукции на этом рынке, ед.изм. (количество)</t>
  </si>
  <si>
    <t>Спрос на продукцию проекта на этом рынке, кв</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</si>
  <si>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</si>
  <si>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</si>
  <si>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t>
  </si>
  <si>
    <t>Казахстан импорт, млн. $</t>
  </si>
  <si>
    <t>Азербайжан, млн.$</t>
  </si>
  <si>
    <t>Россия импорт, млн./$</t>
  </si>
  <si>
    <t>Беларусия импорт, млн. $</t>
  </si>
  <si>
    <t>Украина импорт, млн.$</t>
  </si>
  <si>
    <t>Объем производства продукции проекта (Страна), ед.изм. (количество)</t>
  </si>
  <si>
    <t>Объем производства продукции проекта (Страна), млн. $</t>
  </si>
  <si>
    <t>Цена за единицу основной продукции проекта, $/ед.</t>
  </si>
  <si>
    <t>Прочие данные</t>
  </si>
  <si>
    <t>Законы, правила, пощлины и льготы</t>
  </si>
  <si>
    <t>Спрос на этом рынке, $</t>
  </si>
  <si>
    <t>Дополнительный анализ статистической информации (импорт/экспорт)  в странах прочих</t>
  </si>
  <si>
    <t>Спрос на продукцию проекта на этом рынке, тонна</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</si>
  <si>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</si>
  <si>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</si>
  <si>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</si>
  <si>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</si>
  <si>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</si>
  <si>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</si>
  <si>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</si>
  <si>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</si>
  <si>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Италия, Китай, Россия, Германия</t>
  </si>
  <si>
    <t>Примеры коммерческих предложений по оборудованию</t>
  </si>
  <si>
    <t xml:space="preserve">                          Альфа-СПК, ООО | РОССИЯ                                                              ATR-300</t>
  </si>
  <si>
    <t xml:space="preserve">                                        Альфа-СПК, ООО | РОССИЯ                                                              ARFC-MASSIVE </t>
  </si>
  <si>
    <t xml:space="preserve">Производительность , (тонн/в год) - (кв.м/год) </t>
  </si>
  <si>
    <t>Количество машин</t>
  </si>
  <si>
    <t>1 линия</t>
  </si>
  <si>
    <t>Стоимость комплекта оборудования, $</t>
  </si>
  <si>
    <t>Контакты поставщика, сайт, ссылка в интернете</t>
  </si>
  <si>
    <t>https://alfaspk.ru        alfaspk@mail.ru         +7 (495) 764-06-86(Москва)</t>
  </si>
  <si>
    <t>https://alfaspk.ru         alfaspk@mail.ru          +7 (495) 764-06-86(Москва)</t>
  </si>
  <si>
    <t>Кратко описание технологического процесса изготовления ГП в предлагаемом оборудовании</t>
  </si>
  <si>
    <t>1) На первом этапе шина проходит детальный осмотр на отсутствие шипов и других не пригодных к переработке элементов.
2) На втором этапе происходит резка грузовых шин на мелкие сегменты, примерно 20х20см, легковые колеса подаются целиком.
3) После разрезания получившиеся сегменты подаются по конвейеру в шредерную установку, для измельчения в более мелкую чипсу, происходит удаления бортовой проволоки и иных металлических включений из состава резины.
4) Перерабатываемый материал подается в роторную дробилку для измельчения до конечной фракции, с дополнительным этапом очистки от металлического корда.
5) Доведенный до конечной фракции материал проходит через систему сепарирования, для удаления из его состава текстильного корда, с еще одним этапом отделения металлического корда.
6) После конечной очистки материал подается на фракционное вибросито, на котором происходит сортировка резиновой крошки на фракции.</t>
  </si>
  <si>
    <t>После того, как подготовлено основное сырье, начинается процесс производства резиновой плитки. На первом этапе готовая смесь из резиновой крошки, клея и пигмента закладывается в пресс-формы нужного размера и вида.
Затем включается гидравлический пресс, где и происходит прессование и формовка будущих изделий. На следующем этапе изделие поддается термической обработке для придания нужных свойств и характеристик плитке.
Далее готовая резиновая плитка извлекается из пресс-форм, осматривается качество её производства, изделие упаковывается и отправляется на склад готовой продукции.</t>
  </si>
  <si>
    <t>`</t>
  </si>
  <si>
    <t>Перечень сырья и его расход, рецептура (потери сырья) чтобы получить ГП (за единицу, за определенный объем) на этом оборудовании</t>
  </si>
  <si>
    <t>Прием шин происходит на основе договоров приемки шин на утилизацию или переработку. Прием шин на переработку, осуществляется за плату.</t>
  </si>
  <si>
    <t>Для производства 1м2 резиновой плитки в стандартном размере 500х500х40 мм потребуется: 25 кг резиновой крошки, 2,5 кг клея, 0,35 кг пигмента.</t>
  </si>
  <si>
    <t xml:space="preserve">Перечень энергетических ресурсов (электричества, топливо, вода и др.) и его расход при работе оборудования по получению ГП </t>
  </si>
  <si>
    <t>электричества, вода и др.</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</si>
  <si>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</si>
  <si>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</si>
  <si>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</si>
  <si>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</si>
  <si>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Применяемая технология и его описание</t>
  </si>
  <si>
    <t xml:space="preserve">  Шредер для дробления шин  Выдёргиватель бортовых колец  Гильотина для резки автошин  Загрузочный ленточный транспортер  Транспортный вентилятор  Система магнитной сепарации  Циклоны сборники малые  Система пневмотранспорта  Система транспортировки потоков Комплекс роторной дробилки  Система вибросит  Циклон сборник  Система пылеудаления  Электрооборудование, проводка, электрика и другое  Система связующих металлоконструкций и защиты  Ленточный транспортер для металлического корда  Техническая документация, паспорт, руководство по эксплуатации
</t>
  </si>
  <si>
    <t xml:space="preserve"> Пресс гидравлический - 1 шт. Тележки для пресс-форм - 10 шт. Смеситель для приготовления сырьевой массы - 6 шт. Стойка  для миксера - 6 шт. Стол формовочный  - 2 шт.Пресс-форма - 100 шт.  Увеличенная термическая камера - 1шт.  Датчик температуры - 1шт. Вытяжка - 1 шт. Пульт управления температурой - 1шт. Матрица для изготовления технологических отверстий в плитке - 1 шт. Весы - 4 шт. Инструменты для монтажа - один комплект. Рабочий инструмент - один комплект. Стол для раскладки - 6 шт. Технологический паспорт. </t>
  </si>
  <si>
    <t>Тип выбранного оборудования и гарантируемая производительность, в год,</t>
  </si>
  <si>
    <t>Страна происхождения оборудования</t>
  </si>
  <si>
    <t>Общая стоимость комплекта оборудования.    $</t>
  </si>
  <si>
    <t>Занимаемая площадь оборудования, кв.м.</t>
  </si>
  <si>
    <t>Срок поставки и ввода оборудования</t>
  </si>
  <si>
    <t>3-5 месяцев</t>
  </si>
  <si>
    <t xml:space="preserve">Перечень оборудования закупаемая на местном рынке </t>
  </si>
  <si>
    <t>Трансформатор, тележки, транспорт и др.</t>
  </si>
  <si>
    <t>Сырье и ресурсы</t>
  </si>
  <si>
    <t>Наименование перечень основного сырья, материалов, упаковки</t>
  </si>
  <si>
    <t>Отходы шин</t>
  </si>
  <si>
    <t>Резиновой крошки</t>
  </si>
  <si>
    <t>Клей из полиуретана</t>
  </si>
  <si>
    <t xml:space="preserve"> Пигмент</t>
  </si>
  <si>
    <t xml:space="preserve"> Мешки 1000 кг</t>
  </si>
  <si>
    <t>Источники сырья (местный или импорт)</t>
  </si>
  <si>
    <t>местный</t>
  </si>
  <si>
    <t>Наименование региона источника сырья, примеры.</t>
  </si>
  <si>
    <t>Оптовые цены (Коротко конъюктура цен сырья, материалов и др. на рынке) $/тонн</t>
  </si>
  <si>
    <t>РЕЦЕПТУРА % (Коротко рецептура расхода сырья, кг/ кг готовой продукции)</t>
  </si>
  <si>
    <t>Перечень энергетических ресурсов, ед. изм.</t>
  </si>
  <si>
    <t>Эл. Энергия,КВт</t>
  </si>
  <si>
    <t>Вода, куб.м.</t>
  </si>
  <si>
    <t>Природный газ, куб.м.</t>
  </si>
  <si>
    <t>топливо, тонн</t>
  </si>
  <si>
    <t>Прочее</t>
  </si>
  <si>
    <t>Потребность в энергетических ресурсах в год</t>
  </si>
  <si>
    <t>нет</t>
  </si>
  <si>
    <t>Тарифы, $</t>
  </si>
  <si>
    <t>Место размещения проекта</t>
  </si>
  <si>
    <t>Потенциальные регионы размещения проекта</t>
  </si>
  <si>
    <t>Перечень инициаторов в регионах которые изявили желание реализовать данный проект</t>
  </si>
  <si>
    <t>Преимущества места размещения:</t>
  </si>
  <si>
    <t xml:space="preserve">Наличие сырья </t>
  </si>
  <si>
    <t>Сырье имеется в достаточном количестве</t>
  </si>
  <si>
    <t>Наличие мощностей инженерной инфраструктуры (готовое здание, газ, электр, вода и прочее)</t>
  </si>
  <si>
    <t>Будет обеспечено</t>
  </si>
  <si>
    <t>Наличие дорожной инфраструктуры (ж-д, авто дороги и др.)</t>
  </si>
  <si>
    <t>Имеется</t>
  </si>
  <si>
    <t xml:space="preserve">Наличие свободного земельного участка, посевных площадей </t>
  </si>
  <si>
    <t>Другие преимущетсва места размещения проекта</t>
  </si>
  <si>
    <t xml:space="preserve">Выбранное место размещения данного проекта </t>
  </si>
  <si>
    <t>Преимущества выбранного места размещения</t>
  </si>
  <si>
    <t>Существующие здания и прочие основные фонды</t>
  </si>
  <si>
    <t>Необходимые объемы строительства (реконструкции или ремонта)</t>
  </si>
  <si>
    <t>предусмотрено проектом</t>
  </si>
  <si>
    <t xml:space="preserve">Сведения об инженерной и дорожной инфраструктуре места размещения проекта </t>
  </si>
  <si>
    <t>Требуемая работы по инженерной и дорожной инфраструктуре</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</si>
  <si>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</si>
  <si>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</si>
  <si>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</si>
  <si>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площади, га  </t>
  </si>
  <si>
    <t>Прочие площади</t>
  </si>
  <si>
    <t>Почтовый адрес размещения проекта</t>
  </si>
  <si>
    <t xml:space="preserve">Экономическая эффективность </t>
  </si>
  <si>
    <t>Стоимость проекта, $, в том числе</t>
  </si>
  <si>
    <t>Прямые  инвестиции, $ в том числе:</t>
  </si>
  <si>
    <t>Вклад местного инвестора (инициатора), $</t>
  </si>
  <si>
    <t>Вклад иностранного инвестора, $</t>
  </si>
  <si>
    <t>Кредиты или займы,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</si>
  <si>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</si>
  <si>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</si>
  <si>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</si>
  <si>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</si>
  <si>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</si>
  <si>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</si>
  <si>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</si>
  <si>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</si>
  <si>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</si>
  <si>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</si>
  <si>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</si>
  <si>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</si>
  <si>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</si>
  <si>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</si>
  <si>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</si>
  <si>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</si>
  <si>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Внутренная норма доходности (IRR),%</t>
  </si>
  <si>
    <t>Чистая приведенная ценность (NPV), $</t>
  </si>
  <si>
    <t>Индекс доходности инвестиций ( (PI)</t>
  </si>
  <si>
    <t xml:space="preserve">Количество рабочих мест </t>
  </si>
  <si>
    <t xml:space="preserve">Количество рабочих мест на 1 млн. $ инвестиций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</si>
  <si>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</si>
  <si>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</si>
  <si>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</si>
  <si>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Утилизация отходов, 
Подержка государства отрасли
Наличие сырьевой базы для производства продукции.
Замещение импорта и прочие.</t>
  </si>
  <si>
    <t xml:space="preserve">Слабые стороны </t>
  </si>
  <si>
    <t>Сбор отходов резины, сезонность реализации продукции</t>
  </si>
  <si>
    <t>Возможности</t>
  </si>
  <si>
    <t>Расширение экспорта, увеличение ассортимента продукции</t>
  </si>
  <si>
    <t>Угрозы (недостатки)</t>
  </si>
  <si>
    <t xml:space="preserve">Высокая конкуренция на экспортных рынках, платежеспособность покупателей
</t>
  </si>
  <si>
    <t>Нерешенные вопросы и необходимые меры:</t>
  </si>
  <si>
    <t>Необходимо изыскать добровольного инициатора проекта с достаточным собственным капиталом ввиде здания, строительных работ, оплаты части вспомогательного оборудования, запаса сырья и проектирования ПСД</t>
  </si>
  <si>
    <t>Необходимо изыскать место реализации проекта c достаточной коммунальной и дорожной инфраструктурой, источники плодовощного сырья</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</si>
  <si>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</si>
  <si>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открытия финансирования необходимо разработать и утвердить ТЭО и ПСД и выбрать  на конкурсной основе поставшиков оборудования, строительных работ, сырья и материалов и заключить с ними договоры</t>
  </si>
  <si>
    <t>Business Plan</t>
  </si>
  <si>
    <t>Processing of industrial rubber waste and production of rubber tiles</t>
  </si>
  <si>
    <t>Project</t>
  </si>
  <si>
    <t>Objective of the project</t>
  </si>
  <si>
    <t>Recycling of industrial rubber waste and production of rubber tiles based on high quality raw materials.</t>
  </si>
  <si>
    <t>Project cost, $</t>
  </si>
  <si>
    <t>Revenue at full capacity, $</t>
  </si>
  <si>
    <t>Market demand for the project's products, $</t>
  </si>
  <si>
    <t>Payback period (DPP) (month)</t>
  </si>
  <si>
    <t>Location</t>
  </si>
  <si>
    <t>Project initiator (local investor)</t>
  </si>
  <si>
    <t>Industry area of existing activity of the initiator</t>
  </si>
  <si>
    <t>Processing of industrial rubber waste</t>
  </si>
  <si>
    <t>Financial capabilities, authorized capital, debts</t>
  </si>
  <si>
    <t>Contacts</t>
  </si>
  <si>
    <t>Production</t>
  </si>
  <si>
    <t>Product range</t>
  </si>
  <si>
    <t>Product name</t>
  </si>
  <si>
    <t>Rubber crumb</t>
  </si>
  <si>
    <t>Rubber tile 40 mm (1 sq. M)</t>
  </si>
  <si>
    <t>Photo,sketch</t>
  </si>
  <si>
    <t>Finished product properties:</t>
  </si>
  <si>
    <r>
      <rPr>
        <b/>
        <sz val="12"/>
        <rFont val="Arial"/>
        <family val="2"/>
        <charset val="204"/>
      </rPr>
      <t xml:space="preserve">Crumb rubber - </t>
    </r>
    <r>
      <rPr>
        <sz val="12"/>
        <rFont val="Arial"/>
        <family val="2"/>
        <charset val="204"/>
      </rPr>
      <t>a set of crushed rubber particles of various dispersion and various shapes, which are characterized primarily by the fact that they basically retain the molecular structure and elastomeric properties of the original rubber, and the surface of the particles can be activated to impart special properties to the crumb rubber, or by partial devulcanization surface layer of particles, or by modification of the surface of the particles by chemical or physicochemical treatment.</t>
    </r>
  </si>
  <si>
    <r>
      <rPr>
        <b/>
        <sz val="12"/>
        <rFont val="Arial"/>
        <family val="2"/>
        <charset val="204"/>
      </rPr>
      <t xml:space="preserve">Rubber tile </t>
    </r>
    <r>
      <rPr>
        <sz val="12"/>
        <rFont val="Arial"/>
        <family val="2"/>
        <charset val="204"/>
      </rPr>
      <t>is a floor covering made from crushed rubber (crumb rubber) and polyurethane adhesive. It is widely used as a non-traumatic flooring for playgrounds and sports grounds. Rubber tiles differ in shape and thickness. The most popular are tiles in the form of 1000-1000 mm and 500-500 mm, but there are rubber tiles in the form of paving stones. There are also non-standard shapes, for example, puzzle-shaped slabs with locks along the perimeter, ensuring the connection of the slabs to each other. The thickness of the rubber tile can be from 10 to 45 mm. The shape of the rubber tile does not affect its characteristics, but the choice of thickness determines the area of ​​use and the method of installation.</t>
    </r>
  </si>
  <si>
    <t>Application area</t>
  </si>
  <si>
    <r>
      <rPr>
        <b/>
        <sz val="13"/>
        <rFont val="Arial"/>
        <family val="2"/>
        <charset val="204"/>
      </rPr>
      <t xml:space="preserve">Crumb rubber </t>
    </r>
    <r>
      <rPr>
        <sz val="13"/>
        <rFont val="Arial"/>
        <family val="2"/>
        <charset val="204"/>
      </rPr>
      <t>is one of the products of recycled rubber raw materials (waste rubber, including old tires). Worn tires should be considered the main raw material for producing crumb rubber, since more than half of the rubber produced in the world is used in the production of tires. The main field of application of rubber tiles is as a traumatic surface for children's and sports grounds. However, due to its versatile properties and characteristics, rubber tiles are increasingly being used in other areas. Rubber slabs are ideal for gyms, gyms and fitness clubs. Often rubber tiles are used in ice arenas and skating rinks.</t>
    </r>
  </si>
  <si>
    <t>Forms of packaging and transportation</t>
  </si>
  <si>
    <t>Used for transportation Packing - bags of 25 kg</t>
  </si>
  <si>
    <t>Availability of standardization documents (GOSTs, TUs and other TN VED code)</t>
  </si>
  <si>
    <t>TN VED 4016 91 000 0 - floor coverings and mats. GOST Russia EN 1177-2013 lays down basic requirements for the coverage of playgrounds for injury safety. This standard is based on the safety requirements established by the European regional standard EN 1176-1 and is identical to the European standard EN 1177: 2008 “Shock Absorbing Playground Coverings.</t>
  </si>
  <si>
    <t>Similar product manufacturers, brands and trademarks</t>
  </si>
  <si>
    <t>RUBBER PRODUCT “AMADINA" ltd</t>
  </si>
  <si>
    <t>Wholesale prices for finished products in the market on average $ / ed.</t>
  </si>
  <si>
    <t>Design capacity, tons / year - sq.m / year</t>
  </si>
  <si>
    <t>Demand</t>
  </si>
  <si>
    <t>Uzbekisatn</t>
  </si>
  <si>
    <t>List of consumers of products or services</t>
  </si>
  <si>
    <t>Construction and repair</t>
  </si>
  <si>
    <t>Number of products or services produced</t>
  </si>
  <si>
    <t>According to the concept for the development of the food industry until 2025, developed by the Ministry of Economy and Industry, more than 90% of baby food in the Uzbek market turned out to be imported, it has become the most vulnerable article of food supply in Uzbekistan. The main reason is the low level of its own production. So, for example, 3300 tons of baby food products are imported into the republic, while domestic production is 49.6 tons.</t>
  </si>
  <si>
    <t xml:space="preserve">Requirements for playgrounds in the local area (sq. M)_x000D_
</t>
  </si>
  <si>
    <t>Number of new houses built (pcs / year)</t>
  </si>
  <si>
    <t>Volume of use in the local market, sq.</t>
  </si>
  <si>
    <t>Forecast of increase in consumption, demand</t>
  </si>
  <si>
    <t>Demand for the project's products in this market, $</t>
  </si>
  <si>
    <t>Additional analysis of statistical information (import / export, production volume, price statistics, etc.) in Uzbekistan</t>
  </si>
  <si>
    <t>Name</t>
  </si>
  <si>
    <t>2019 year</t>
  </si>
  <si>
    <t>Import volume of project products (Uzbekistan), $, (for import substitution forecast)</t>
  </si>
  <si>
    <t>Export volume of project products (Uzbekistan) ,. $ (to identify foreign importers)</t>
  </si>
  <si>
    <t>What benefits and preferences, as well as laws and regulations apply to the project</t>
  </si>
  <si>
    <t>Preferences and benefits for manufacturers, including exemption from tax and customs payments for up to 10 years, depending on the volume of investments.</t>
  </si>
  <si>
    <t>CIS countries (such as Russia, Belarus, Kazakhstan, etc.) and neighboring countries (Afghanistan, China, Iran, etc.)</t>
  </si>
  <si>
    <t>List of countries</t>
  </si>
  <si>
    <t>Russia</t>
  </si>
  <si>
    <t>Kazakhstan</t>
  </si>
  <si>
    <t xml:space="preserve">Turkmenistan </t>
  </si>
  <si>
    <t>Tajikistan</t>
  </si>
  <si>
    <t>Optimal platform size (sq.)</t>
  </si>
  <si>
    <t>Demand for the project's products in this market, sq.</t>
  </si>
  <si>
    <t>The amount of demand for the project's products in this market, $</t>
  </si>
  <si>
    <t>Additional analysis of statistical information (import / export) in the CIS countries, briefly the market volume for the project in question, all the initial data for the calculation:</t>
  </si>
  <si>
    <t>Countries</t>
  </si>
  <si>
    <t>Kazakhstan import, million $</t>
  </si>
  <si>
    <t>Azerbaijan, million $</t>
  </si>
  <si>
    <t>Russia import, million / $</t>
  </si>
  <si>
    <t>Belarus import, million $</t>
  </si>
  <si>
    <t>Ukraine import, million $</t>
  </si>
  <si>
    <t>Demand in this market, $</t>
  </si>
  <si>
    <t>Additional analysis of statistical information (import / export) in other countries</t>
  </si>
  <si>
    <t>Import volume of project products (USA), tons</t>
  </si>
  <si>
    <t>Import volume of project products (Canada), tons</t>
  </si>
  <si>
    <t>Import volume of project products (Great Britain), tons</t>
  </si>
  <si>
    <t>Import volume of project products (France), tons</t>
  </si>
  <si>
    <t>Import volume of project products (Germany), tons</t>
  </si>
  <si>
    <t>Demand for the project's products in this market, quantity</t>
  </si>
  <si>
    <t>Findings</t>
  </si>
  <si>
    <t>Total demand (export / local market), $</t>
  </si>
  <si>
    <t>Sales plan (export / local market),%</t>
  </si>
  <si>
    <t>Share of project sales on the market,%</t>
  </si>
  <si>
    <t>Equipment</t>
  </si>
  <si>
    <t>Leading equipment manufacturers of the project, existing advanced technologies and other overview information</t>
  </si>
  <si>
    <t>Italy, China, Russia, Germany</t>
  </si>
  <si>
    <t>Examples of commercial offers for equipment</t>
  </si>
  <si>
    <t xml:space="preserve">                      Alfa-SPK, LLC | RUSSIA ATR-300</t>
  </si>
  <si>
    <t xml:space="preserve">    Alfa-SPK, LLC | RUSSIA ARFC-MASSIVE</t>
  </si>
  <si>
    <t>Productivity, (tons / per year) - (sq.m / year)</t>
  </si>
  <si>
    <t>Number of cars</t>
  </si>
  <si>
    <t>1 line</t>
  </si>
  <si>
    <t>Equipment set cost, $</t>
  </si>
  <si>
    <t>Supplier contacts, website, link on the Internet</t>
  </si>
  <si>
    <t>Brief description of the technological process of manufacturing GPU in the proposed equipment</t>
  </si>
  <si>
    <t>1) At the first stage, the tire undergoes a detailed inspection for the absence of spikes and other unrecyclable elements.
2) At the second stage, truck tires are cut into small segments, approximately 20x20cm, car wheels are fed entirely.
3) After cutting, the resulting segments are fed through a conveyor to a shredder installation for grinding into a smaller chip, bead wire and other metal inclusions are removed from the rubber composition.
4) The processed material is fed to a rotary crusher for crushing to the final fraction, with an additional stage of cleaning from the metal cord.
5) The material brought to the final fraction passes through a separation system to remove the textile cord from its composition, with another step of separating the metal cord.
6) After final cleaning, the material is fed to a fractional vibrating sieve, on which crumb rubber is sorted into fractions.</t>
  </si>
  <si>
    <t>After the main raw materials are prepared, the rubber tile production process begins. At the first stage, a ready-made mixture of crumb rubber, glue and pigment is put into molds of the required size and type.
Then the hydraulic press turns on, where the pressing and forming of future products takes place. At the next stage, the product is heat treated to give the desired properties and characteristics to the tiles.
Next, the finished rubber tile is removed from the molds, the quality of its production is inspected, the product is packed and sent to the finished product warehouse.</t>
  </si>
  <si>
    <t>List of raw materials and their consumption, recipe (loss of raw materials) in order to obtain GP (per unit, for a certain volume) on this equipment</t>
  </si>
  <si>
    <t>Tires are accepted on the basis of agreements for the acceptance of tires for disposal or recycling. Reception of tires for recycling is carried out for a fee.</t>
  </si>
  <si>
    <t>For the production of 1 m2 of rubber tiles in a standard size of 500x500x40 mm, you will need: 25 kg of rubber crumb, 2.5 kg of glue, 0.35 kg of pigment.</t>
  </si>
  <si>
    <t>The list of energy resources (electricity, fuel, water, etc.) and its consumption during the operation of equipment for obtaining GP</t>
  </si>
  <si>
    <t>electricity, water, etc.</t>
  </si>
  <si>
    <t>The area of the building, the structure required to accommodate this equipment, sq. M.</t>
  </si>
  <si>
    <t>The number of workers per shift (per day, per season) when operating this equipment</t>
  </si>
  <si>
    <t>Information about the selected equipment</t>
  </si>
  <si>
    <t>Applied technology and its description</t>
  </si>
  <si>
    <t xml:space="preserve">Shredder for tire crushing Bead ring puller Guillotine for cutting tires Loading belt conveyor Transport fan Magnetic separation system Cyclones small collectors Pneumatic transport system Stream transportation system Impact crusher system Vibrating sieve system Cyclone collector Dust removal system Electrical equipment, wiring, electrical structures and other metal binder system Belt conveyor for metal cord Technical documentation, passport, operation manual
</t>
  </si>
  <si>
    <t xml:space="preserve"> Hydraulic press - 1 pc. Mold carts - 10 pcs. Mixer for preparation of raw material - 6 pcs. Mixer stand - 6 pcs. Forming table - 2 pcs. Mold - 100 pcs. Enlarged thermal chamber - 1 pc. Temperature sensor - 1 pc. Hood - 1 pc. Temperature control panel - 1 pc. Matrix for making technological holes in tiles - 1 pc. Scales - 4 pcs. Installation tools - one set. Working tool - one set. Layout table - 6 pcs. Technological passport.</t>
  </si>
  <si>
    <t>Type of equipment selected and guaranteed productivity, per year,</t>
  </si>
  <si>
    <t>Country of origin of equipment</t>
  </si>
  <si>
    <t>The total cost of a set of equipment. $</t>
  </si>
  <si>
    <t>The occupied area of the equipment, sq.m.</t>
  </si>
  <si>
    <t>Delivery and commissioning time of equipment</t>
  </si>
  <si>
    <t>3-5 months</t>
  </si>
  <si>
    <t>List of equipment purchased on the local market</t>
  </si>
  <si>
    <t>Transformer, carts, transport, etc.</t>
  </si>
  <si>
    <t>Raw materials and resources</t>
  </si>
  <si>
    <t>Name list of basic raw materials, materials, packaging</t>
  </si>
  <si>
    <t>Tire</t>
  </si>
  <si>
    <t>Polyurethane adhesive</t>
  </si>
  <si>
    <t xml:space="preserve"> Pigment</t>
  </si>
  <si>
    <t>Bags 25 kg</t>
  </si>
  <si>
    <t>Sources of raw materials (local or imported)</t>
  </si>
  <si>
    <t>Local</t>
  </si>
  <si>
    <t>Wholesale prices (Briefly the conjuncture of prices of raw materials, materials, etc. on the market) $ / ton</t>
  </si>
  <si>
    <t>RECIPE% (Briefly recipe of raw material consumption, kg / kg of finished product)</t>
  </si>
  <si>
    <t>List of energy resources, units rev.</t>
  </si>
  <si>
    <t>Electricity, kW</t>
  </si>
  <si>
    <t>Water, cubic meters</t>
  </si>
  <si>
    <t>Natural gas, cubic meters</t>
  </si>
  <si>
    <t>fuel, tons</t>
  </si>
  <si>
    <t>others</t>
  </si>
  <si>
    <t>Energy demand per year</t>
  </si>
  <si>
    <t>not</t>
  </si>
  <si>
    <t>Tariffs, $</t>
  </si>
  <si>
    <t>Location of the project</t>
  </si>
  <si>
    <t>Potential regions of the project location</t>
  </si>
  <si>
    <t>List of initiators in the regions who have expressed a desire to implement this project</t>
  </si>
  <si>
    <t>Placement advantages:</t>
  </si>
  <si>
    <t>Availability of raw materials</t>
  </si>
  <si>
    <t>Raw materials are available in sufficient quantity</t>
  </si>
  <si>
    <t>Availability of engineering infrastructure facilities (finished building, gas, electricity, water, etc.)</t>
  </si>
  <si>
    <t>Will be provided</t>
  </si>
  <si>
    <t>Availability of road infrastructure (railway, auto roads, etc.)</t>
  </si>
  <si>
    <t>Exists</t>
  </si>
  <si>
    <t>Availability of free land, sown areas</t>
  </si>
  <si>
    <t>Existing buildings and other fixed assets</t>
  </si>
  <si>
    <t>Necessary volumes of construction (reconstruction or repair)</t>
  </si>
  <si>
    <t>provided by the project</t>
  </si>
  <si>
    <t>Information about the engineering and road infrastructure of the project location</t>
  </si>
  <si>
    <t>To be clarified</t>
  </si>
  <si>
    <t>Required work on engineering and road infrastructure</t>
  </si>
  <si>
    <t>The occupied area of the project, hectares, including:</t>
  </si>
  <si>
    <t>Area of industrial buildings and structures</t>
  </si>
  <si>
    <t>Area adjacent to buildings</t>
  </si>
  <si>
    <t>Sown area, ha</t>
  </si>
  <si>
    <t>Other areas</t>
  </si>
  <si>
    <t>Project postal address</t>
  </si>
  <si>
    <t>Economic efficiency</t>
  </si>
  <si>
    <t>Project cost, $, including</t>
  </si>
  <si>
    <t>Indicators</t>
  </si>
  <si>
    <t>Costs in national currency</t>
  </si>
  <si>
    <t>Costs in hard currency</t>
  </si>
  <si>
    <t>Total</t>
  </si>
  <si>
    <t>Structure</t>
  </si>
  <si>
    <t>Loan or credit</t>
  </si>
  <si>
    <t>Local investor</t>
  </si>
  <si>
    <t>Foreign investor</t>
  </si>
  <si>
    <t>Design</t>
  </si>
  <si>
    <t>Buildings, structures, land</t>
  </si>
  <si>
    <t>Basic equipment</t>
  </si>
  <si>
    <t>Auxiliary equipment</t>
  </si>
  <si>
    <t>Transportation costs, installation supervision, training</t>
  </si>
  <si>
    <t>Other fixed assets</t>
  </si>
  <si>
    <t>Total Fixed Assets</t>
  </si>
  <si>
    <t>structure</t>
  </si>
  <si>
    <t>Stocks of raw materials and supplies</t>
  </si>
  <si>
    <t>Financial costs</t>
  </si>
  <si>
    <t>TOTAL INITIAL COST OF THE PROJECT</t>
  </si>
  <si>
    <t>Direct investments, $ including:</t>
  </si>
  <si>
    <t>Local investor (initiator) contribution, $</t>
  </si>
  <si>
    <t>Foreign investor contribution, $</t>
  </si>
  <si>
    <t>Loans or loans, $</t>
  </si>
  <si>
    <t>Cash flows</t>
  </si>
  <si>
    <t>Years</t>
  </si>
  <si>
    <t>1st year</t>
  </si>
  <si>
    <t>2nd year</t>
  </si>
  <si>
    <t>3rd year</t>
  </si>
  <si>
    <t>4th year</t>
  </si>
  <si>
    <t>5th year</t>
  </si>
  <si>
    <t>6th year</t>
  </si>
  <si>
    <t>7th year</t>
  </si>
  <si>
    <t>8th year</t>
  </si>
  <si>
    <t>9th year</t>
  </si>
  <si>
    <t>10th year</t>
  </si>
  <si>
    <t>Cash inflows</t>
  </si>
  <si>
    <t>Cash outflows</t>
  </si>
  <si>
    <t>Net cash flow</t>
  </si>
  <si>
    <t>Internal rate of return (IRR),%</t>
  </si>
  <si>
    <t>Net present value (NPV), $</t>
  </si>
  <si>
    <t>Return on Investment Index ((PI)</t>
  </si>
  <si>
    <t>Number of workplaces</t>
  </si>
  <si>
    <t>Number of jobs per $ 1 million investment</t>
  </si>
  <si>
    <t>Tax incentives and preferences for the project</t>
  </si>
  <si>
    <t>SWOT-Analysis</t>
  </si>
  <si>
    <t>Strengths (Project Benefits)</t>
  </si>
  <si>
    <t>Weak sides</t>
  </si>
  <si>
    <t xml:space="preserve">Seasonality of the project,
</t>
  </si>
  <si>
    <t>Opportunies</t>
  </si>
  <si>
    <t xml:space="preserve">Expanding exports, increasing the range of products
</t>
  </si>
  <si>
    <t>Threats (disadvantages)</t>
  </si>
  <si>
    <t>Strong competition in export markets
Not harvest, providing enough raw materials</t>
  </si>
  <si>
    <t>Unresolved Issues and Necessary Measures:</t>
  </si>
  <si>
    <t>It is necessary to find a voluntary project initiator with sufficient equity capital in the form of a building, construction work, payment for a part of auxiliary equipment, stock of raw materials and design and estimate documentation</t>
  </si>
  <si>
    <t>It is necessary to find a place for the implementation of the project with sufficient communal and road infrastructure, sources of fruit and vegetable raw materials</t>
  </si>
  <si>
    <t>It is necessary to find a partner (including a foreign investor) interested in participating in the project with investments to pay for the cost of equipment and its delivery, staff training and financial costs.</t>
  </si>
  <si>
    <t>To open financing, it is necessary to develop and approve FS and Detailed design and estimate documentation and select suppliers of equipment, construction works, raw materials and materials and conclude agreements with them</t>
  </si>
  <si>
    <t>Project initiator rating</t>
  </si>
  <si>
    <t>№ class</t>
  </si>
  <si>
    <t>Local partner characteristics</t>
  </si>
  <si>
    <t>Note</t>
  </si>
  <si>
    <t>Class1</t>
  </si>
  <si>
    <t>The initiator has sufficient entrepreneurial experience and experience in the industry of the new project (has a similar production), has sufficient resources (not only real estate, but also cash) to contribute a share in the project</t>
  </si>
  <si>
    <t>Class 2</t>
  </si>
  <si>
    <t>The initiator has sufficient entrepreneurial experience and resources (not only real estate, but also cash) to contribute a share in the project, but not enough experience in the industry of the new project (does not have a similar production)</t>
  </si>
  <si>
    <t>Class 3</t>
  </si>
  <si>
    <t>The initiator has only sufficient experience and knowledge in the implementation of a similar project (previously worked or managed a similar project), but does not have free real estate (vacant buildings, structures), not funds to contribute a share in the project</t>
  </si>
  <si>
    <t>Class 4</t>
  </si>
  <si>
    <t>The initiator has only real estate (vacant buildings, structures) to contribute a share in the project, there is no money for a new project and there is not enough experience in the industry of a new project (does not have a similar production)</t>
  </si>
  <si>
    <t>Class 5</t>
  </si>
  <si>
    <t>The initiator does not have any entrepreneurial and other experience in the implementation of investment projects and own funds to contribute a share in the project, there is only a desire to participate in the project</t>
  </si>
  <si>
    <t>Renouncement</t>
  </si>
  <si>
    <t>Investment project readiness rating</t>
  </si>
  <si>
    <t>№ Class</t>
  </si>
  <si>
    <t>Class 1</t>
  </si>
  <si>
    <t>Marketing data for the project was clarified (on the state-owned enterprise, raw materials and equipment), the parameters of the location and the rating of the initiator of the project were studied and the final presentation and the project passport were transferred to the API</t>
  </si>
  <si>
    <t>For the project, the marketing data (on SE, raw materials and equipment) were clarified, the parameters of the location and the rating of the initiator of the project were studied, and work is underway to prepare the final presentation and the project passport for transfer to the API</t>
  </si>
  <si>
    <t>For the project, marketing data (on gas production, raw materials and equipment) have been clarified and areas for project location have been worked out. but a local initiator of the project has not been appointed, in this regard, the final presentation and project passport have not been issued for transfer to the API</t>
  </si>
  <si>
    <t>For the project, only an express analysis was carried out, the initiator and location of the project was found, the marketing data (on the state-owned enterprise, raw materials and equipment) were not clarified, in this regard, the final presentation and the project passport were not issued for transfer to the API</t>
  </si>
  <si>
    <t>Classс 5</t>
  </si>
  <si>
    <t>According to the project, only express analysis was carried out, the project has no place of location and initiator, marketing data (on state-of-the-art, raw materials and equipment) has not been clarified, in this regard, the final presentation and project passport have not been issued for transfer to the API</t>
  </si>
  <si>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</si>
  <si>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</si>
  <si>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</si>
  <si>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</si>
  <si>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</si>
  <si>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</si>
  <si>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</si>
  <si>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</si>
  <si>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</si>
  <si>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</si>
  <si>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</si>
  <si>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</si>
  <si>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(for example: boutique hotel)</t>
  </si>
  <si>
    <t>Industry</t>
  </si>
  <si>
    <t>(for example: definition of a boutique hotel)</t>
  </si>
  <si>
    <t>Отрасль</t>
  </si>
  <si>
    <t>Project placement</t>
  </si>
  <si>
    <t>Free Economic Zone</t>
  </si>
  <si>
    <t>(yes)</t>
  </si>
  <si>
    <t>(no)</t>
  </si>
  <si>
    <t>Free economic zone</t>
  </si>
  <si>
    <t xml:space="preserve"> (YES)</t>
  </si>
  <si>
    <t xml:space="preserve"> (NO)</t>
  </si>
  <si>
    <t>Размещение проекта</t>
  </si>
  <si>
    <t>Project capacity</t>
  </si>
  <si>
    <t>sq.m.</t>
  </si>
  <si>
    <t>Проектная мощность</t>
  </si>
  <si>
    <t>тонн</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</si>
  <si>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</si>
  <si>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</si>
  <si>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</si>
  <si>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</si>
  <si>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</si>
  <si>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</si>
  <si>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</si>
  <si>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</si>
  <si>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</si>
  <si>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</si>
  <si>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</si>
  <si>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</si>
  <si>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</si>
  <si>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</si>
  <si>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</si>
  <si>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</si>
  <si>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</si>
  <si>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 xml:space="preserve">Other (specify) </t>
  </si>
  <si>
    <t>Прочее (указать)</t>
  </si>
  <si>
    <t>(НЕТ)</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</si>
  <si>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</si>
  <si>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</si>
  <si>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</si>
  <si>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</si>
  <si>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</si>
  <si>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</si>
  <si>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</si>
  <si>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</si>
  <si>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</si>
  <si>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</si>
  <si>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</si>
  <si>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</si>
  <si>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</si>
  <si>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</si>
  <si>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</si>
  <si>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</si>
  <si>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</si>
  <si>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</si>
  <si>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</si>
  <si>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</si>
  <si>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</si>
  <si>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</si>
  <si>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</si>
  <si>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</si>
  <si>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</si>
  <si>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</si>
  <si>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</si>
  <si>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</si>
  <si>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</si>
  <si>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</si>
  <si>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</si>
  <si>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</si>
  <si>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</si>
  <si>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</si>
  <si>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</si>
  <si>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</si>
  <si>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</si>
  <si>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</si>
  <si>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</si>
  <si>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</si>
  <si>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</si>
  <si>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</si>
  <si>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</si>
  <si>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</si>
  <si>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</si>
  <si>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</si>
  <si>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</si>
  <si>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</si>
  <si>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</si>
  <si>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</si>
  <si>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</si>
  <si>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</si>
  <si>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</si>
  <si>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</si>
  <si>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</si>
  <si>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</si>
  <si>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</si>
  <si>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</si>
  <si>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</si>
  <si>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</si>
  <si>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</si>
  <si>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</si>
  <si>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</si>
  <si>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</si>
  <si>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</si>
  <si>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</si>
  <si>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</si>
  <si>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</si>
  <si>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</si>
  <si>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</si>
  <si>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</si>
  <si>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</si>
  <si>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</si>
  <si>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</si>
  <si>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</si>
  <si>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</si>
  <si>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</si>
  <si>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</si>
  <si>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</si>
  <si>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</si>
  <si>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</si>
  <si>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</si>
  <si>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</si>
  <si>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</si>
  <si>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</si>
  <si>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</si>
  <si>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</si>
  <si>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</si>
  <si>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</si>
  <si>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</si>
  <si>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</si>
  <si>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</si>
  <si>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</si>
  <si>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</si>
  <si>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Need for Investment</t>
  </si>
  <si>
    <t>Offer from Contractor available</t>
  </si>
  <si>
    <t>Offer to investors / lenders</t>
  </si>
  <si>
    <t>Предложение инвесторам / кредиторам</t>
  </si>
  <si>
    <t>Offer for Construction available</t>
  </si>
  <si>
    <t>Guarantees</t>
  </si>
  <si>
    <t>Attraction of a lender, $</t>
  </si>
  <si>
    <t>Привлечение кредитора, $</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</si>
  <si>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</si>
  <si>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</si>
  <si>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</si>
  <si>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</si>
  <si>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</si>
  <si>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</si>
  <si>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</si>
  <si>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</si>
  <si>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</si>
  <si>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</si>
  <si>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</si>
  <si>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тел.
Mail</t>
  </si>
  <si>
    <t>J. Urinov</t>
  </si>
  <si>
    <t>Свободная экономическая зона</t>
  </si>
  <si>
    <t>tonn</t>
  </si>
  <si>
    <t>кв.м.</t>
  </si>
  <si>
    <t>Создано</t>
  </si>
  <si>
    <t>Если нет, то планы создания</t>
  </si>
  <si>
    <t>если нет, то планы их обучения и т. д.?</t>
  </si>
  <si>
    <t>Если нет, что нужно?</t>
  </si>
  <si>
    <t>Contact of local partner 
(project initiator)</t>
  </si>
  <si>
    <t>Full name</t>
  </si>
  <si>
    <t xml:space="preserve">Waste rubber recycling,
State support for the industry
Availability of a raw material base for production.
Import substitution and others.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</si>
</sst>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0"/>
    <numFmt numFmtId="165" formatCode="[$$-409]#,##0.00_ ;[Red]\-[$$-409]#,##0.00\ "/>
    <numFmt numFmtId="166" formatCode="_-[$$-409]* #,##0.0_ ;_-[$$-409]* \-#,##0.0\ ;_-[$$-409]* &quot;-&quot;?_ ;_-@_ "/>
    <numFmt numFmtId="167" formatCode="_-[$$-409]* #,##0.00_ ;_-[$$-409]* \-#,##0.00\ ;_-[$$-409]* &quot;-&quot;??_ ;_-@_ "/>
    <numFmt numFmtId="168" formatCode="[$$-409]#,##0_ ;[Red]\-[$$-409]#,##0\ "/>
    <numFmt numFmtId="169" formatCode="0.0"/>
    <numFmt numFmtId="170" formatCode="#,##0.0;[Red]\-#,##0.0"/>
    <numFmt numFmtId="171" formatCode="0.0%"/>
  </numFmts>
  <fonts count="60">
    <font>
      <sz val="10"/>
      <name val="MS Sans Serif"/>
    </font>
    <font>
      <sz val="11"/>
      <color theme="1"/>
      <name val="Calibri"/>
      <family val="2"/>
      <charset val="204"/>
      <scheme val="minor"/>
    </font>
    <font>
      <sz val="10"/>
      <name val="MS Sans Serif"/>
      <family val="2"/>
      <charset val="204"/>
    </font>
    <font>
      <sz val="10"/>
      <name val="TimesET"/>
      <charset val="204"/>
    </font>
    <font>
      <sz val="16"/>
      <name val="TimesET"/>
      <charset val="204"/>
    </font>
    <font>
      <sz val="24"/>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sz val="14"/>
      <name val="Arial"/>
      <family val="2"/>
      <charset val="204"/>
    </font>
    <font>
      <sz val="11"/>
      <name val="Arial"/>
      <family val="2"/>
      <charset val="204"/>
    </font>
    <font>
      <sz val="10"/>
      <name val="Arial"/>
      <family val="2"/>
      <charset val="204"/>
    </font>
    <font>
      <b/>
      <sz val="12"/>
      <name val="Arial"/>
      <family val="2"/>
      <charset val="204"/>
    </font>
    <font>
      <sz val="13"/>
      <name val="Arial"/>
      <family val="2"/>
      <charset val="204"/>
    </font>
    <font>
      <b/>
      <sz val="13"/>
      <name val="Arial"/>
      <family val="2"/>
      <charset val="204"/>
    </font>
    <font>
      <i/>
      <sz val="14"/>
      <name val="Arial"/>
      <family val="2"/>
      <charset val="204"/>
    </font>
    <font>
      <i/>
      <sz val="12"/>
      <name val="Arial"/>
      <family val="2"/>
      <charset val="204"/>
    </font>
    <font>
      <b/>
      <i/>
      <sz val="12"/>
      <name val="Arial"/>
      <family val="2"/>
      <charset val="204"/>
    </font>
    <font>
      <u/>
      <sz val="10"/>
      <color indexed="12"/>
      <name val="MS Sans Serif"/>
      <family val="2"/>
      <charset val="204"/>
    </font>
    <font>
      <sz val="14"/>
      <name val="MS Sans Serif"/>
      <charset val="204"/>
    </font>
    <font>
      <sz val="9"/>
      <name val="Arial"/>
      <family val="2"/>
      <charset val="204"/>
    </font>
    <font>
      <b/>
      <sz val="10"/>
      <name val="TimesET"/>
      <charset val="204"/>
    </font>
    <font>
      <b/>
      <sz val="10"/>
      <name val="MS Sans Serif"/>
      <charset val="204"/>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i/>
      <sz val="14"/>
      <color theme="5" tint="-0.499984740745262"/>
      <name val="Montserrat"/>
    </font>
    <font>
      <b/>
      <i/>
      <sz val="14"/>
      <color rgb="FFFF0000"/>
      <name val="Montserrat"/>
    </font>
    <font>
      <i/>
      <sz val="14"/>
      <color theme="1"/>
      <name val="Montserrat"/>
    </font>
    <font>
      <i/>
      <sz val="12"/>
      <color theme="5" tint="-0.499984740745262"/>
      <name val="Montserrat"/>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style="thin">
        <color auto="1"/>
      </bottom>
      <diagonal/>
    </border>
    <border>
      <left/>
      <right/>
      <top/>
      <bottom style="thin">
        <color indexed="64"/>
      </bottom>
      <diagonal/>
    </border>
    <border>
      <left/>
      <right style="thin">
        <color auto="1"/>
      </right>
      <top/>
      <bottom style="thin">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style="double">
        <color auto="1"/>
      </left>
      <right/>
      <top style="thin">
        <color auto="1"/>
      </top>
      <bottom/>
      <diagonal/>
    </border>
    <border>
      <left/>
      <right style="thin">
        <color auto="1"/>
      </right>
      <top/>
      <bottom style="double">
        <color auto="1"/>
      </bottom>
      <diagonal/>
    </border>
  </borders>
  <cellStyleXfs count="7">
    <xf numFmtId="0" fontId="0" fillId="0" borderId="0"/>
    <xf numFmtId="40" fontId="2" fillId="0" borderId="0" applyFont="0" applyFill="0" applyBorder="0" applyAlignment="0" applyProtection="0"/>
    <xf numFmtId="9"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1" fillId="0" borderId="0"/>
    <xf numFmtId="0" fontId="25" fillId="0" borderId="0"/>
  </cellStyleXfs>
  <cellXfs count="461">
    <xf numFmtId="0" fontId="0" fillId="0" borderId="0" xfId="0"/>
    <xf numFmtId="0" fontId="3" fillId="0" borderId="0" xfId="4" applyFont="1" applyAlignment="1">
      <alignment vertical="top"/>
    </xf>
    <xf numFmtId="0" fontId="4" fillId="0" borderId="0" xfId="4" applyFont="1" applyAlignment="1">
      <alignment horizontal="right"/>
    </xf>
    <xf numFmtId="0" fontId="3" fillId="0" borderId="0" xfId="4" applyFont="1"/>
    <xf numFmtId="40" fontId="3" fillId="0" borderId="0" xfId="4" applyNumberFormat="1" applyFont="1"/>
    <xf numFmtId="0" fontId="3" fillId="0" borderId="1" xfId="4" applyFont="1" applyBorder="1" applyAlignment="1">
      <alignment vertical="top"/>
    </xf>
    <xf numFmtId="0" fontId="9" fillId="0" borderId="1" xfId="5" applyFont="1" applyBorder="1" applyAlignment="1">
      <alignment vertical="center" wrapText="1"/>
    </xf>
    <xf numFmtId="0" fontId="12" fillId="0" borderId="1" xfId="5" applyFont="1" applyBorder="1" applyAlignment="1">
      <alignment horizontal="left" vertical="center" wrapText="1"/>
    </xf>
    <xf numFmtId="0" fontId="12" fillId="0" borderId="1" xfId="5" applyFont="1" applyBorder="1" applyAlignment="1">
      <alignment horizontal="right" vertical="center" wrapText="1"/>
    </xf>
    <xf numFmtId="0" fontId="9" fillId="0" borderId="1" xfId="5" applyFont="1" applyBorder="1" applyAlignment="1">
      <alignment horizontal="left" vertical="center" wrapText="1"/>
    </xf>
    <xf numFmtId="0" fontId="11" fillId="0" borderId="1" xfId="5" applyFont="1" applyBorder="1" applyAlignment="1">
      <alignment horizontal="center" vertical="center" wrapText="1"/>
    </xf>
    <xf numFmtId="0" fontId="9" fillId="0" borderId="1" xfId="5" applyFont="1" applyBorder="1" applyAlignment="1">
      <alignment horizontal="center" vertical="center" wrapText="1"/>
    </xf>
    <xf numFmtId="40" fontId="3" fillId="0" borderId="0" xfId="1" applyFont="1"/>
    <xf numFmtId="40" fontId="9" fillId="0" borderId="1" xfId="1" applyFont="1" applyBorder="1" applyAlignment="1">
      <alignment horizontal="center" vertical="center" wrapText="1"/>
    </xf>
    <xf numFmtId="38" fontId="9" fillId="0" borderId="1" xfId="1" applyNumberFormat="1" applyFont="1" applyBorder="1" applyAlignment="1">
      <alignment horizontal="center" vertical="center" wrapText="1"/>
    </xf>
    <xf numFmtId="4" fontId="9" fillId="0" borderId="1" xfId="5" applyNumberFormat="1" applyFont="1" applyBorder="1" applyAlignment="1">
      <alignment horizontal="center" vertical="center" wrapText="1"/>
    </xf>
    <xf numFmtId="40" fontId="14" fillId="0" borderId="1" xfId="1" applyFont="1" applyBorder="1" applyAlignment="1">
      <alignment horizontal="center" vertical="center" wrapText="1"/>
    </xf>
    <xf numFmtId="0" fontId="13" fillId="0" borderId="1" xfId="5" applyFont="1" applyBorder="1" applyAlignment="1">
      <alignment horizontal="center" vertical="center" wrapText="1"/>
    </xf>
    <xf numFmtId="38" fontId="13" fillId="0" borderId="1" xfId="1" applyNumberFormat="1" applyFont="1" applyBorder="1" applyAlignment="1">
      <alignment horizontal="center" vertical="center" wrapText="1"/>
    </xf>
    <xf numFmtId="38" fontId="13" fillId="0" borderId="1" xfId="1" applyNumberFormat="1" applyFont="1" applyBorder="1" applyAlignment="1">
      <alignment vertical="center" wrapText="1"/>
    </xf>
    <xf numFmtId="9" fontId="13" fillId="0" borderId="1" xfId="5" applyNumberFormat="1" applyFont="1" applyBorder="1" applyAlignment="1">
      <alignment horizontal="center" vertical="center" wrapText="1"/>
    </xf>
    <xf numFmtId="38" fontId="11" fillId="0" borderId="1" xfId="1" applyNumberFormat="1" applyFont="1" applyBorder="1" applyAlignment="1">
      <alignment vertical="center" wrapText="1"/>
    </xf>
    <xf numFmtId="38" fontId="11" fillId="0" borderId="1" xfId="1" applyNumberFormat="1" applyFont="1" applyBorder="1" applyAlignment="1">
      <alignment horizontal="center" vertical="center" wrapText="1"/>
    </xf>
    <xf numFmtId="40" fontId="11" fillId="0" borderId="1" xfId="1" applyFont="1" applyBorder="1" applyAlignment="1">
      <alignment horizontal="center" vertical="center" wrapText="1"/>
    </xf>
    <xf numFmtId="0" fontId="3" fillId="0" borderId="1" xfId="4" applyFont="1" applyBorder="1"/>
    <xf numFmtId="169" fontId="11" fillId="0" borderId="1" xfId="5" applyNumberFormat="1" applyFont="1" applyBorder="1" applyAlignment="1">
      <alignment horizontal="center" vertical="center" wrapText="1"/>
    </xf>
    <xf numFmtId="38" fontId="9" fillId="0" borderId="1" xfId="5" applyNumberFormat="1" applyFont="1" applyBorder="1" applyAlignment="1">
      <alignment horizontal="center" vertical="center" wrapText="1"/>
    </xf>
    <xf numFmtId="0" fontId="11" fillId="0" borderId="1" xfId="5" applyFont="1" applyBorder="1" applyAlignment="1">
      <alignment horizontal="right" vertical="center" wrapText="1"/>
    </xf>
    <xf numFmtId="40" fontId="9" fillId="0" borderId="1" xfId="1" applyFont="1" applyBorder="1" applyAlignment="1">
      <alignment vertical="center" wrapText="1"/>
    </xf>
    <xf numFmtId="170" fontId="9" fillId="0" borderId="1" xfId="1" applyNumberFormat="1" applyFont="1" applyBorder="1" applyAlignment="1">
      <alignment vertical="center" wrapText="1"/>
    </xf>
    <xf numFmtId="38" fontId="9" fillId="0" borderId="1" xfId="1" applyNumberFormat="1" applyFont="1" applyBorder="1" applyAlignment="1">
      <alignment vertical="center" wrapText="1"/>
    </xf>
    <xf numFmtId="2" fontId="9" fillId="0" borderId="1" xfId="5" applyNumberFormat="1" applyFont="1" applyBorder="1" applyAlignment="1">
      <alignment horizontal="center" vertical="center" wrapText="1"/>
    </xf>
    <xf numFmtId="0" fontId="13" fillId="0" borderId="1" xfId="5" applyFont="1" applyBorder="1" applyAlignment="1">
      <alignment horizontal="left" vertical="center" wrapText="1"/>
    </xf>
    <xf numFmtId="0" fontId="13" fillId="0" borderId="1" xfId="5" applyFont="1" applyBorder="1" applyAlignment="1">
      <alignment horizontal="right" vertical="center" wrapText="1"/>
    </xf>
    <xf numFmtId="0" fontId="3" fillId="0" borderId="0" xfId="4" applyFont="1" applyAlignment="1">
      <alignment horizontal="left"/>
    </xf>
    <xf numFmtId="164" fontId="12" fillId="0" borderId="1" xfId="1" applyNumberFormat="1" applyFont="1" applyBorder="1" applyAlignment="1">
      <alignment horizontal="center" vertical="center" wrapText="1"/>
    </xf>
    <xf numFmtId="0" fontId="9" fillId="0" borderId="1" xfId="5" applyFont="1" applyBorder="1" applyAlignment="1">
      <alignment horizontal="right" vertical="center" wrapText="1"/>
    </xf>
    <xf numFmtId="9" fontId="9" fillId="0" borderId="1" xfId="2" applyFont="1" applyBorder="1" applyAlignment="1">
      <alignment horizontal="center" vertical="center" wrapText="1"/>
    </xf>
    <xf numFmtId="38" fontId="12" fillId="0" borderId="1" xfId="1" applyNumberFormat="1" applyFont="1" applyBorder="1" applyAlignment="1">
      <alignment horizontal="center" vertical="center" wrapText="1"/>
    </xf>
    <xf numFmtId="0" fontId="3" fillId="0" borderId="11" xfId="4" applyFont="1" applyBorder="1" applyAlignment="1">
      <alignment horizontal="center" vertical="top"/>
    </xf>
    <xf numFmtId="0" fontId="3" fillId="0" borderId="13" xfId="4" applyFont="1" applyBorder="1" applyAlignment="1">
      <alignment horizontal="center" vertical="top"/>
    </xf>
    <xf numFmtId="0" fontId="3" fillId="0" borderId="0" xfId="4" applyFont="1" applyAlignment="1">
      <alignment horizontal="center" vertical="top"/>
    </xf>
    <xf numFmtId="0" fontId="0" fillId="0" borderId="0" xfId="0" applyAlignment="1">
      <alignment vertical="top"/>
    </xf>
    <xf numFmtId="0" fontId="23" fillId="0" borderId="0" xfId="4" applyFont="1"/>
    <xf numFmtId="0" fontId="11" fillId="3" borderId="1" xfId="5" applyFont="1" applyFill="1" applyBorder="1" applyAlignment="1">
      <alignment horizontal="center" vertical="center" wrapText="1"/>
    </xf>
    <xf numFmtId="0" fontId="11" fillId="3" borderId="1" xfId="5" applyFont="1" applyFill="1" applyBorder="1" applyAlignment="1">
      <alignment vertical="center" wrapText="1"/>
    </xf>
    <xf numFmtId="170" fontId="11" fillId="0" borderId="1" xfId="1" applyNumberFormat="1" applyFont="1" applyBorder="1" applyAlignment="1">
      <alignment horizontal="center" vertical="center" wrapText="1"/>
    </xf>
    <xf numFmtId="0" fontId="24" fillId="0" borderId="0" xfId="0" applyFont="1" applyAlignment="1">
      <alignment vertical="top"/>
    </xf>
    <xf numFmtId="0" fontId="24" fillId="0" borderId="0" xfId="0" applyFont="1"/>
    <xf numFmtId="0" fontId="0" fillId="0" borderId="1" xfId="0" applyBorder="1" applyAlignment="1">
      <alignment horizontal="center" vertical="top" wrapText="1"/>
    </xf>
    <xf numFmtId="0" fontId="0" fillId="0" borderId="1" xfId="0" applyBorder="1" applyAlignment="1">
      <alignment horizontal="center" vertical="center" wrapText="1"/>
    </xf>
    <xf numFmtId="0" fontId="0" fillId="0" borderId="0" xfId="0" applyAlignment="1">
      <alignment horizontal="center" vertical="center" wrapText="1"/>
    </xf>
    <xf numFmtId="0" fontId="26" fillId="0" borderId="0" xfId="6" applyFont="1" applyAlignment="1">
      <alignment horizontal="left" vertical="center"/>
    </xf>
    <xf numFmtId="0" fontId="26" fillId="0" borderId="0" xfId="0" applyFont="1" applyAlignment="1">
      <alignment horizontal="left" vertical="center"/>
    </xf>
    <xf numFmtId="0" fontId="27" fillId="0" borderId="0" xfId="6" applyFont="1" applyAlignment="1">
      <alignment horizontal="left" vertical="center"/>
    </xf>
    <xf numFmtId="0" fontId="27" fillId="0" borderId="0" xfId="6" applyFont="1" applyAlignment="1">
      <alignment horizontal="center" vertical="center"/>
    </xf>
    <xf numFmtId="0" fontId="28" fillId="0" borderId="0" xfId="6" applyFont="1" applyAlignment="1">
      <alignment horizontal="left" vertical="center"/>
    </xf>
    <xf numFmtId="0" fontId="29" fillId="0" borderId="0" xfId="6" applyFont="1" applyAlignment="1">
      <alignment horizontal="left" vertical="center"/>
    </xf>
    <xf numFmtId="14" fontId="26" fillId="0" borderId="0" xfId="6" applyNumberFormat="1" applyFont="1" applyAlignment="1">
      <alignment horizontal="left" vertical="center"/>
    </xf>
    <xf numFmtId="0" fontId="30" fillId="0" borderId="0" xfId="6" applyFont="1" applyAlignment="1">
      <alignment horizontal="left" vertical="center"/>
    </xf>
    <xf numFmtId="0" fontId="31" fillId="0" borderId="0" xfId="6" applyFont="1" applyAlignment="1">
      <alignment horizontal="left" vertical="center"/>
    </xf>
    <xf numFmtId="14" fontId="31" fillId="0" borderId="0" xfId="6" applyNumberFormat="1" applyFont="1" applyAlignment="1">
      <alignment horizontal="left" vertical="center"/>
    </xf>
    <xf numFmtId="0" fontId="32" fillId="0" borderId="0" xfId="6" applyFont="1" applyAlignment="1">
      <alignment horizontal="center" vertical="center"/>
    </xf>
    <xf numFmtId="0" fontId="36" fillId="0" borderId="16" xfId="6" applyFont="1" applyBorder="1" applyAlignment="1">
      <alignment horizontal="left" vertical="center" wrapText="1"/>
    </xf>
    <xf numFmtId="0" fontId="26" fillId="0" borderId="0" xfId="6" applyFont="1" applyAlignment="1">
      <alignment horizontal="left" vertical="center" wrapText="1"/>
    </xf>
    <xf numFmtId="0" fontId="36" fillId="0" borderId="20" xfId="6" applyFont="1" applyBorder="1" applyAlignment="1">
      <alignment horizontal="left" vertical="center" wrapText="1"/>
    </xf>
    <xf numFmtId="0" fontId="37" fillId="0" borderId="20" xfId="6" applyFont="1" applyBorder="1" applyAlignment="1">
      <alignment horizontal="left" vertical="center" wrapText="1"/>
    </xf>
    <xf numFmtId="0" fontId="36" fillId="0" borderId="24" xfId="6" applyFont="1" applyBorder="1" applyAlignment="1">
      <alignment horizontal="left" vertical="center" wrapText="1"/>
    </xf>
    <xf numFmtId="0" fontId="39" fillId="0" borderId="20" xfId="6" applyFont="1" applyBorder="1" applyAlignment="1">
      <alignment horizontal="center" vertical="center" wrapText="1"/>
    </xf>
    <xf numFmtId="0" fontId="40" fillId="0" borderId="20" xfId="6" applyFont="1" applyBorder="1" applyAlignment="1">
      <alignment horizontal="center" vertical="center" wrapText="1"/>
    </xf>
    <xf numFmtId="0" fontId="41" fillId="0" borderId="20" xfId="6" applyFont="1" applyBorder="1" applyAlignment="1">
      <alignment horizontal="center" vertical="center" wrapText="1"/>
    </xf>
    <xf numFmtId="0" fontId="26" fillId="0" borderId="4" xfId="6" applyFont="1" applyBorder="1" applyAlignment="1">
      <alignment horizontal="left" vertical="center" wrapText="1"/>
    </xf>
    <xf numFmtId="0" fontId="26" fillId="0" borderId="1" xfId="6" applyFont="1" applyBorder="1" applyAlignment="1">
      <alignment horizontal="left" vertical="center" wrapText="1"/>
    </xf>
    <xf numFmtId="0" fontId="26" fillId="0" borderId="25" xfId="6" applyFont="1" applyBorder="1" applyAlignment="1">
      <alignment horizontal="left" vertical="center" wrapText="1"/>
    </xf>
    <xf numFmtId="0" fontId="42" fillId="0" borderId="20" xfId="6" applyFont="1" applyBorder="1" applyAlignment="1">
      <alignment horizontal="center" vertical="center" wrapText="1"/>
    </xf>
    <xf numFmtId="0" fontId="43" fillId="0" borderId="0" xfId="6" applyFont="1" applyAlignment="1">
      <alignment horizontal="left" vertical="center" wrapText="1"/>
    </xf>
    <xf numFmtId="0" fontId="26" fillId="0" borderId="0" xfId="6" applyFont="1" applyAlignment="1">
      <alignment horizontal="left" vertical="top" wrapText="1"/>
    </xf>
    <xf numFmtId="0" fontId="36" fillId="0" borderId="20" xfId="6" applyFont="1" applyBorder="1" applyAlignment="1">
      <alignment vertical="center" wrapText="1"/>
    </xf>
    <xf numFmtId="0" fontId="37" fillId="0" borderId="20" xfId="6" applyFont="1" applyBorder="1" applyAlignment="1">
      <alignment vertical="center" wrapText="1"/>
    </xf>
    <xf numFmtId="0" fontId="40" fillId="0" borderId="49" xfId="6" applyFont="1" applyBorder="1" applyAlignment="1">
      <alignment horizontal="center" vertical="center" wrapText="1"/>
    </xf>
    <xf numFmtId="0" fontId="48" fillId="0" borderId="49" xfId="6" applyFont="1" applyBorder="1" applyAlignment="1">
      <alignment horizontal="center" vertical="center" wrapText="1"/>
    </xf>
    <xf numFmtId="0" fontId="26" fillId="0" borderId="0" xfId="6" applyFont="1" applyAlignment="1">
      <alignment horizontal="center" vertical="center"/>
    </xf>
    <xf numFmtId="0" fontId="50" fillId="0" borderId="0" xfId="6" applyFont="1" applyAlignment="1">
      <alignment horizontal="left" vertical="center"/>
    </xf>
    <xf numFmtId="14" fontId="50" fillId="0" borderId="0" xfId="6" applyNumberFormat="1" applyFont="1" applyAlignment="1">
      <alignment horizontal="left" vertical="center"/>
    </xf>
    <xf numFmtId="0" fontId="54" fillId="0" borderId="20" xfId="6" applyFont="1" applyBorder="1" applyAlignment="1">
      <alignment horizontal="left" vertical="center" wrapText="1"/>
    </xf>
    <xf numFmtId="0" fontId="56" fillId="0" borderId="20" xfId="6" applyFont="1" applyBorder="1" applyAlignment="1">
      <alignment horizontal="center" vertical="center" wrapText="1"/>
    </xf>
    <xf numFmtId="0" fontId="57" fillId="0" borderId="20" xfId="6" applyFont="1" applyBorder="1" applyAlignment="1">
      <alignment horizontal="center" vertical="center" wrapText="1"/>
    </xf>
    <xf numFmtId="0" fontId="54" fillId="0" borderId="20" xfId="6" applyFont="1" applyBorder="1" applyAlignment="1">
      <alignment vertical="center" wrapText="1"/>
    </xf>
    <xf numFmtId="0" fontId="59" fillId="0" borderId="49" xfId="6" applyFont="1" applyBorder="1" applyAlignment="1">
      <alignment horizontal="center" vertical="center" wrapText="1"/>
    </xf>
    <xf numFmtId="0" fontId="27" fillId="0" borderId="33" xfId="6" applyFont="1" applyBorder="1" applyAlignment="1">
      <alignment horizontal="center" vertical="center" wrapText="1"/>
    </xf>
    <xf numFmtId="0" fontId="27" fillId="0" borderId="34" xfId="6" applyFont="1" applyBorder="1" applyAlignment="1">
      <alignment horizontal="center" vertical="center" wrapText="1"/>
    </xf>
    <xf numFmtId="0" fontId="27" fillId="0" borderId="35" xfId="6" applyFont="1" applyBorder="1" applyAlignment="1">
      <alignment horizontal="center" vertical="center" wrapText="1"/>
    </xf>
    <xf numFmtId="0" fontId="27" fillId="0" borderId="30" xfId="6" applyFont="1" applyBorder="1" applyAlignment="1">
      <alignment horizontal="center" vertical="center" wrapText="1"/>
    </xf>
    <xf numFmtId="0" fontId="40" fillId="0" borderId="47" xfId="6" applyFont="1" applyBorder="1" applyAlignment="1">
      <alignment horizontal="left" vertical="center" wrapText="1"/>
    </xf>
    <xf numFmtId="0" fontId="40" fillId="0" borderId="48" xfId="6" applyFont="1" applyBorder="1" applyAlignment="1">
      <alignment horizontal="left" vertical="center" wrapText="1"/>
    </xf>
    <xf numFmtId="38" fontId="47" fillId="0" borderId="47" xfId="1" applyNumberFormat="1" applyFont="1" applyBorder="1" applyAlignment="1">
      <alignment horizontal="left" vertical="center" wrapText="1"/>
    </xf>
    <xf numFmtId="38" fontId="47" fillId="0" borderId="45" xfId="1" applyNumberFormat="1" applyFont="1" applyBorder="1" applyAlignment="1">
      <alignment horizontal="left" vertical="center" wrapText="1"/>
    </xf>
    <xf numFmtId="38" fontId="47" fillId="0" borderId="48" xfId="1" applyNumberFormat="1" applyFont="1" applyBorder="1" applyAlignment="1">
      <alignment horizontal="left" vertical="center" wrapText="1"/>
    </xf>
    <xf numFmtId="0" fontId="49" fillId="0" borderId="50" xfId="6" applyFont="1" applyBorder="1" applyAlignment="1">
      <alignment horizontal="left" vertical="center" wrapText="1"/>
    </xf>
    <xf numFmtId="0" fontId="49" fillId="0" borderId="51" xfId="6" applyFont="1" applyBorder="1" applyAlignment="1">
      <alignment horizontal="left" vertical="center" wrapText="1"/>
    </xf>
    <xf numFmtId="0" fontId="44" fillId="0" borderId="50" xfId="6" applyFont="1" applyBorder="1" applyAlignment="1">
      <alignment horizontal="left" vertical="center" wrapText="1"/>
    </xf>
    <xf numFmtId="0" fontId="44" fillId="0" borderId="51" xfId="6" applyFont="1" applyBorder="1" applyAlignment="1">
      <alignment horizontal="left" vertical="center" wrapText="1"/>
    </xf>
    <xf numFmtId="38" fontId="44" fillId="0" borderId="44" xfId="1" applyNumberFormat="1" applyFont="1" applyBorder="1" applyAlignment="1">
      <alignment horizontal="center" vertical="center" wrapText="1"/>
    </xf>
    <xf numFmtId="38" fontId="44" fillId="0" borderId="45" xfId="1" applyNumberFormat="1" applyFont="1" applyBorder="1" applyAlignment="1">
      <alignment horizontal="center" vertical="center" wrapText="1"/>
    </xf>
    <xf numFmtId="38" fontId="44" fillId="0" borderId="48" xfId="1" applyNumberFormat="1" applyFont="1" applyBorder="1" applyAlignment="1">
      <alignment horizontal="center" vertical="center" wrapText="1"/>
    </xf>
    <xf numFmtId="0" fontId="36" fillId="0" borderId="27" xfId="6" applyFont="1" applyBorder="1" applyAlignment="1">
      <alignment horizontal="left" vertical="center" wrapText="1"/>
    </xf>
    <xf numFmtId="0" fontId="36" fillId="0" borderId="43" xfId="6" applyFont="1" applyBorder="1" applyAlignment="1">
      <alignment horizontal="left" vertical="center" wrapText="1"/>
    </xf>
    <xf numFmtId="0" fontId="26" fillId="0" borderId="28" xfId="6" applyFont="1" applyBorder="1" applyAlignment="1">
      <alignment horizontal="center" vertical="center" wrapText="1"/>
    </xf>
    <xf numFmtId="0" fontId="26" fillId="0" borderId="29" xfId="6" applyFont="1" applyBorder="1" applyAlignment="1">
      <alignment horizontal="center" vertical="center" wrapText="1"/>
    </xf>
    <xf numFmtId="0" fontId="26" fillId="0" borderId="32" xfId="6" applyFont="1" applyBorder="1" applyAlignment="1">
      <alignment horizontal="center" vertical="center" wrapText="1"/>
    </xf>
    <xf numFmtId="0" fontId="37" fillId="0" borderId="20" xfId="6" applyFont="1" applyBorder="1" applyAlignment="1">
      <alignment horizontal="left" vertical="center" wrapText="1"/>
    </xf>
    <xf numFmtId="38" fontId="38" fillId="0" borderId="1" xfId="6" applyNumberFormat="1" applyFont="1" applyBorder="1" applyAlignment="1">
      <alignment horizontal="center" vertical="center" wrapText="1"/>
    </xf>
    <xf numFmtId="0" fontId="38" fillId="0" borderId="1" xfId="6" applyFont="1" applyBorder="1" applyAlignment="1">
      <alignment horizontal="center" vertical="center" wrapText="1"/>
    </xf>
    <xf numFmtId="0" fontId="38" fillId="0" borderId="41" xfId="6" applyFont="1" applyBorder="1" applyAlignment="1">
      <alignment horizontal="center" vertical="center" wrapText="1"/>
    </xf>
    <xf numFmtId="0" fontId="26" fillId="0" borderId="4" xfId="6" applyFont="1" applyBorder="1" applyAlignment="1">
      <alignment horizontal="left" vertical="center" wrapText="1"/>
    </xf>
    <xf numFmtId="0" fontId="26" fillId="0" borderId="1" xfId="6" applyFont="1" applyBorder="1" applyAlignment="1">
      <alignment horizontal="left" vertical="center" wrapText="1"/>
    </xf>
    <xf numFmtId="0" fontId="26" fillId="0" borderId="25" xfId="6" applyFont="1" applyBorder="1" applyAlignment="1">
      <alignment horizontal="left" vertical="center" wrapText="1"/>
    </xf>
    <xf numFmtId="0" fontId="26" fillId="0" borderId="44" xfId="6" applyFont="1" applyBorder="1" applyAlignment="1">
      <alignment horizontal="left" vertical="center" wrapText="1"/>
    </xf>
    <xf numFmtId="0" fontId="26" fillId="0" borderId="45" xfId="6" applyFont="1" applyBorder="1" applyAlignment="1">
      <alignment horizontal="left" vertical="center" wrapText="1"/>
    </xf>
    <xf numFmtId="0" fontId="26" fillId="0" borderId="46" xfId="6" applyFont="1" applyBorder="1" applyAlignment="1">
      <alignment horizontal="left" vertical="center" wrapText="1"/>
    </xf>
    <xf numFmtId="38" fontId="26" fillId="0" borderId="47" xfId="6" applyNumberFormat="1" applyFont="1" applyBorder="1" applyAlignment="1">
      <alignment horizontal="center" vertical="center" wrapText="1"/>
    </xf>
    <xf numFmtId="38" fontId="26" fillId="0" borderId="45" xfId="6" applyNumberFormat="1" applyFont="1" applyBorder="1" applyAlignment="1">
      <alignment horizontal="center" vertical="center" wrapText="1"/>
    </xf>
    <xf numFmtId="38" fontId="26" fillId="0" borderId="48" xfId="6" applyNumberFormat="1" applyFont="1" applyBorder="1" applyAlignment="1">
      <alignment horizontal="center" vertical="center" wrapText="1"/>
    </xf>
    <xf numFmtId="0" fontId="27" fillId="0" borderId="40" xfId="6" applyFont="1" applyBorder="1" applyAlignment="1">
      <alignment horizontal="left" vertical="center" wrapText="1"/>
    </xf>
    <xf numFmtId="0" fontId="27" fillId="0" borderId="1" xfId="6" applyFont="1" applyBorder="1" applyAlignment="1">
      <alignment horizontal="left" vertical="center" wrapText="1"/>
    </xf>
    <xf numFmtId="38" fontId="26" fillId="0" borderId="31" xfId="6" applyNumberFormat="1" applyFont="1" applyBorder="1" applyAlignment="1">
      <alignment horizontal="center" vertical="center" wrapText="1"/>
    </xf>
    <xf numFmtId="38" fontId="26" fillId="0" borderId="29" xfId="6" applyNumberFormat="1" applyFont="1" applyBorder="1" applyAlignment="1">
      <alignment horizontal="center" vertical="center" wrapText="1"/>
    </xf>
    <xf numFmtId="38" fontId="26" fillId="0" borderId="32" xfId="6" applyNumberFormat="1" applyFont="1" applyBorder="1" applyAlignment="1">
      <alignment horizontal="center" vertical="center" wrapText="1"/>
    </xf>
    <xf numFmtId="0" fontId="27" fillId="0" borderId="33" xfId="6" applyFont="1" applyBorder="1" applyAlignment="1">
      <alignment horizontal="left" vertical="center" wrapText="1"/>
    </xf>
    <xf numFmtId="0" fontId="27" fillId="0" borderId="34" xfId="6" applyFont="1" applyBorder="1" applyAlignment="1">
      <alignment horizontal="left" vertical="center" wrapText="1"/>
    </xf>
    <xf numFmtId="38" fontId="38" fillId="0" borderId="34" xfId="6" applyNumberFormat="1" applyFont="1" applyBorder="1" applyAlignment="1">
      <alignment horizontal="center" vertical="center" wrapText="1"/>
    </xf>
    <xf numFmtId="0" fontId="38" fillId="0" borderId="34" xfId="6" applyFont="1" applyBorder="1" applyAlignment="1">
      <alignment horizontal="center" vertical="center" wrapText="1"/>
    </xf>
    <xf numFmtId="0" fontId="38" fillId="0" borderId="35" xfId="6" applyFont="1" applyBorder="1" applyAlignment="1">
      <alignment horizontal="center" vertical="center" wrapText="1"/>
    </xf>
    <xf numFmtId="38" fontId="26" fillId="0" borderId="38" xfId="6" applyNumberFormat="1" applyFont="1" applyBorder="1" applyAlignment="1">
      <alignment horizontal="left" vertical="center" wrapText="1"/>
    </xf>
    <xf numFmtId="38" fontId="26" fillId="0" borderId="3" xfId="6" applyNumberFormat="1" applyFont="1" applyBorder="1" applyAlignment="1">
      <alignment horizontal="left" vertical="center" wrapText="1"/>
    </xf>
    <xf numFmtId="38" fontId="26" fillId="0" borderId="4" xfId="6" applyNumberFormat="1" applyFont="1" applyBorder="1" applyAlignment="1">
      <alignment horizontal="left" vertical="center" wrapText="1"/>
    </xf>
    <xf numFmtId="38" fontId="26" fillId="0" borderId="2" xfId="6" applyNumberFormat="1" applyFont="1" applyBorder="1" applyAlignment="1">
      <alignment horizontal="center" vertical="center" wrapText="1"/>
    </xf>
    <xf numFmtId="38" fontId="26" fillId="0" borderId="3" xfId="6" applyNumberFormat="1" applyFont="1" applyBorder="1" applyAlignment="1">
      <alignment horizontal="center" vertical="center" wrapText="1"/>
    </xf>
    <xf numFmtId="38" fontId="26" fillId="0" borderId="39" xfId="6" applyNumberFormat="1" applyFont="1" applyBorder="1" applyAlignment="1">
      <alignment horizontal="center" vertical="center" wrapText="1"/>
    </xf>
    <xf numFmtId="38" fontId="27" fillId="0" borderId="40" xfId="6" applyNumberFormat="1" applyFont="1" applyBorder="1" applyAlignment="1">
      <alignment horizontal="left" vertical="center" wrapText="1"/>
    </xf>
    <xf numFmtId="0" fontId="36" fillId="0" borderId="24" xfId="6" applyFont="1" applyBorder="1" applyAlignment="1">
      <alignment horizontal="left" vertical="center" wrapText="1"/>
    </xf>
    <xf numFmtId="0" fontId="36" fillId="0" borderId="27" xfId="6" applyFont="1" applyBorder="1" applyAlignment="1">
      <alignment horizontal="center" vertical="center" wrapText="1"/>
    </xf>
    <xf numFmtId="0" fontId="36" fillId="0" borderId="37" xfId="6" applyFont="1" applyBorder="1" applyAlignment="1">
      <alignment horizontal="center" vertical="center" wrapText="1"/>
    </xf>
    <xf numFmtId="0" fontId="36" fillId="0" borderId="43" xfId="6" applyFont="1" applyBorder="1" applyAlignment="1">
      <alignment horizontal="center" vertical="center" wrapText="1"/>
    </xf>
    <xf numFmtId="0" fontId="26" fillId="0" borderId="28" xfId="6" applyFont="1" applyBorder="1" applyAlignment="1">
      <alignment horizontal="left" vertical="center" wrapText="1"/>
    </xf>
    <xf numFmtId="0" fontId="26" fillId="0" borderId="29" xfId="6" applyFont="1" applyBorder="1" applyAlignment="1">
      <alignment horizontal="left" vertical="center" wrapText="1"/>
    </xf>
    <xf numFmtId="0" fontId="26" fillId="0" borderId="30" xfId="6" applyFont="1" applyBorder="1" applyAlignment="1">
      <alignment horizontal="left" vertical="center" wrapText="1"/>
    </xf>
    <xf numFmtId="171" fontId="26" fillId="0" borderId="21" xfId="2" applyNumberFormat="1" applyFont="1" applyBorder="1" applyAlignment="1">
      <alignment horizontal="center" vertical="center" wrapText="1"/>
    </xf>
    <xf numFmtId="171" fontId="26" fillId="0" borderId="22" xfId="2" applyNumberFormat="1" applyFont="1" applyBorder="1" applyAlignment="1">
      <alignment horizontal="center" vertical="center" wrapText="1"/>
    </xf>
    <xf numFmtId="171" fontId="26" fillId="0" borderId="23" xfId="2" applyNumberFormat="1" applyFont="1" applyBorder="1" applyAlignment="1">
      <alignment horizontal="center" vertical="center" wrapText="1"/>
    </xf>
    <xf numFmtId="171" fontId="38" fillId="0" borderId="20" xfId="2" applyNumberFormat="1" applyFont="1" applyBorder="1" applyAlignment="1">
      <alignment horizontal="center" vertical="center" wrapText="1"/>
    </xf>
    <xf numFmtId="38" fontId="26" fillId="0" borderId="21" xfId="6" applyNumberFormat="1" applyFont="1" applyBorder="1" applyAlignment="1">
      <alignment horizontal="center" vertical="center" wrapText="1"/>
    </xf>
    <xf numFmtId="38" fontId="26" fillId="0" borderId="22" xfId="6" applyNumberFormat="1" applyFont="1" applyBorder="1" applyAlignment="1">
      <alignment horizontal="center" vertical="center" wrapText="1"/>
    </xf>
    <xf numFmtId="38" fontId="26" fillId="0" borderId="23" xfId="6" applyNumberFormat="1" applyFont="1" applyBorder="1" applyAlignment="1">
      <alignment horizontal="center" vertical="center" wrapText="1"/>
    </xf>
    <xf numFmtId="38" fontId="38" fillId="0" borderId="20" xfId="6" applyNumberFormat="1" applyFont="1" applyBorder="1" applyAlignment="1">
      <alignment horizontal="center" vertical="center" wrapText="1"/>
    </xf>
    <xf numFmtId="0" fontId="38" fillId="0" borderId="20" xfId="6" applyFont="1" applyBorder="1" applyAlignment="1">
      <alignment horizontal="center" vertical="center" wrapText="1"/>
    </xf>
    <xf numFmtId="40" fontId="26" fillId="0" borderId="21" xfId="6" applyNumberFormat="1" applyFont="1" applyBorder="1" applyAlignment="1">
      <alignment horizontal="center" vertical="center" wrapText="1"/>
    </xf>
    <xf numFmtId="40" fontId="26" fillId="0" borderId="22" xfId="6" applyNumberFormat="1" applyFont="1" applyBorder="1" applyAlignment="1">
      <alignment horizontal="center" vertical="center" wrapText="1"/>
    </xf>
    <xf numFmtId="40" fontId="26" fillId="0" borderId="23" xfId="6" applyNumberFormat="1" applyFont="1" applyBorder="1" applyAlignment="1">
      <alignment horizontal="center" vertical="center" wrapText="1"/>
    </xf>
    <xf numFmtId="40" fontId="38" fillId="0" borderId="20" xfId="6" applyNumberFormat="1" applyFont="1" applyBorder="1" applyAlignment="1">
      <alignment horizontal="center" vertical="center" wrapText="1"/>
    </xf>
    <xf numFmtId="38" fontId="26" fillId="0" borderId="47" xfId="6" applyNumberFormat="1" applyFont="1" applyBorder="1" applyAlignment="1">
      <alignment horizontal="left" vertical="center" wrapText="1"/>
    </xf>
    <xf numFmtId="38" fontId="26" fillId="0" borderId="46" xfId="6" applyNumberFormat="1" applyFont="1" applyBorder="1" applyAlignment="1">
      <alignment horizontal="left" vertical="center" wrapText="1"/>
    </xf>
    <xf numFmtId="38" fontId="26" fillId="0" borderId="45" xfId="6" applyNumberFormat="1" applyFont="1" applyBorder="1" applyAlignment="1">
      <alignment horizontal="left" vertical="center" wrapText="1"/>
    </xf>
    <xf numFmtId="38" fontId="26" fillId="0" borderId="48" xfId="6" applyNumberFormat="1" applyFont="1" applyBorder="1" applyAlignment="1">
      <alignment horizontal="left" vertical="center" wrapText="1"/>
    </xf>
    <xf numFmtId="38" fontId="46" fillId="0" borderId="49" xfId="6" applyNumberFormat="1" applyFont="1" applyBorder="1" applyAlignment="1">
      <alignment horizontal="center" vertical="center" wrapText="1"/>
    </xf>
    <xf numFmtId="0" fontId="46" fillId="0" borderId="50" xfId="6" applyFont="1" applyBorder="1" applyAlignment="1">
      <alignment horizontal="center" vertical="center" wrapText="1"/>
    </xf>
    <xf numFmtId="38" fontId="46" fillId="0" borderId="50" xfId="6" applyNumberFormat="1" applyFont="1" applyBorder="1" applyAlignment="1">
      <alignment horizontal="center" vertical="center" wrapText="1"/>
    </xf>
    <xf numFmtId="0" fontId="46" fillId="0" borderId="51" xfId="6" applyFont="1" applyBorder="1" applyAlignment="1">
      <alignment horizontal="center" vertical="center" wrapText="1"/>
    </xf>
    <xf numFmtId="0" fontId="26" fillId="0" borderId="4" xfId="6" applyFont="1" applyBorder="1" applyAlignment="1">
      <alignment horizontal="left" vertical="top" wrapText="1"/>
    </xf>
    <xf numFmtId="0" fontId="26" fillId="0" borderId="1" xfId="6" applyFont="1" applyBorder="1" applyAlignment="1">
      <alignment horizontal="left" vertical="top" wrapText="1"/>
    </xf>
    <xf numFmtId="0" fontId="26" fillId="0" borderId="25" xfId="6" applyFont="1" applyBorder="1" applyAlignment="1">
      <alignment horizontal="left" vertical="top" wrapText="1"/>
    </xf>
    <xf numFmtId="38" fontId="26" fillId="0" borderId="44" xfId="6" applyNumberFormat="1" applyFont="1" applyBorder="1" applyAlignment="1">
      <alignment horizontal="left" vertical="center" wrapText="1"/>
    </xf>
    <xf numFmtId="0" fontId="40" fillId="0" borderId="31" xfId="6" applyFont="1" applyBorder="1" applyAlignment="1">
      <alignment horizontal="center" vertical="center" wrapText="1"/>
    </xf>
    <xf numFmtId="0" fontId="40" fillId="0" borderId="29" xfId="6" applyFont="1" applyBorder="1" applyAlignment="1">
      <alignment horizontal="center" vertical="center" wrapText="1"/>
    </xf>
    <xf numFmtId="0" fontId="40" fillId="0" borderId="32" xfId="6" applyFont="1" applyBorder="1" applyAlignment="1">
      <alignment horizontal="center" vertical="center" wrapText="1"/>
    </xf>
    <xf numFmtId="0" fontId="44" fillId="0" borderId="33" xfId="6" applyFont="1" applyBorder="1" applyAlignment="1">
      <alignment horizontal="center" vertical="center" wrapText="1"/>
    </xf>
    <xf numFmtId="0" fontId="44" fillId="0" borderId="34" xfId="6" applyFont="1" applyBorder="1" applyAlignment="1">
      <alignment horizontal="center" vertical="center" wrapText="1"/>
    </xf>
    <xf numFmtId="0" fontId="44" fillId="0" borderId="35" xfId="6" applyFont="1" applyBorder="1" applyAlignment="1">
      <alignment horizontal="center" vertical="center" wrapText="1"/>
    </xf>
    <xf numFmtId="0" fontId="27" fillId="0" borderId="20" xfId="6" applyFont="1" applyBorder="1" applyAlignment="1">
      <alignment horizontal="center" vertical="center" wrapText="1"/>
    </xf>
    <xf numFmtId="0" fontId="43" fillId="0" borderId="4" xfId="6" applyFont="1" applyBorder="1" applyAlignment="1">
      <alignment horizontal="left" vertical="center" wrapText="1"/>
    </xf>
    <xf numFmtId="0" fontId="43" fillId="0" borderId="1" xfId="6" applyFont="1" applyBorder="1" applyAlignment="1">
      <alignment horizontal="left" vertical="center" wrapText="1"/>
    </xf>
    <xf numFmtId="0" fontId="43" fillId="0" borderId="25" xfId="6" applyFont="1" applyBorder="1" applyAlignment="1">
      <alignment horizontal="left" vertical="center" wrapText="1"/>
    </xf>
    <xf numFmtId="0" fontId="40" fillId="0" borderId="28" xfId="6" applyFont="1" applyBorder="1" applyAlignment="1">
      <alignment horizontal="center" vertical="center" wrapText="1"/>
    </xf>
    <xf numFmtId="0" fontId="40" fillId="0" borderId="30" xfId="6" applyFont="1" applyBorder="1" applyAlignment="1">
      <alignment horizontal="center" vertical="center" wrapText="1"/>
    </xf>
    <xf numFmtId="0" fontId="26" fillId="0" borderId="21" xfId="6" applyFont="1" applyBorder="1" applyAlignment="1">
      <alignment horizontal="center" vertical="center" wrapText="1"/>
    </xf>
    <xf numFmtId="0" fontId="26" fillId="0" borderId="22" xfId="6" applyFont="1" applyBorder="1" applyAlignment="1">
      <alignment horizontal="center" vertical="center" wrapText="1"/>
    </xf>
    <xf numFmtId="0" fontId="26" fillId="0" borderId="23" xfId="6" applyFont="1" applyBorder="1" applyAlignment="1">
      <alignment horizontal="center" vertical="center" wrapText="1"/>
    </xf>
    <xf numFmtId="0" fontId="42" fillId="0" borderId="1" xfId="6" applyFont="1" applyBorder="1" applyAlignment="1">
      <alignment horizontal="center" vertical="center" wrapText="1"/>
    </xf>
    <xf numFmtId="0" fontId="42" fillId="0" borderId="41" xfId="6" applyFont="1" applyBorder="1" applyAlignment="1">
      <alignment horizontal="center" vertical="center" wrapText="1"/>
    </xf>
    <xf numFmtId="0" fontId="39" fillId="0" borderId="47" xfId="6" applyFont="1" applyBorder="1" applyAlignment="1">
      <alignment horizontal="center" vertical="center" wrapText="1"/>
    </xf>
    <xf numFmtId="0" fontId="39" fillId="0" borderId="45" xfId="6" applyFont="1" applyBorder="1" applyAlignment="1">
      <alignment horizontal="center" vertical="center" wrapText="1"/>
    </xf>
    <xf numFmtId="0" fontId="39" fillId="0" borderId="46" xfId="6" applyFont="1" applyBorder="1" applyAlignment="1">
      <alignment horizontal="center" vertical="center" wrapText="1"/>
    </xf>
    <xf numFmtId="0" fontId="39" fillId="0" borderId="48" xfId="6" applyFont="1" applyBorder="1" applyAlignment="1">
      <alignment horizontal="center" vertical="center" wrapText="1"/>
    </xf>
    <xf numFmtId="0" fontId="27" fillId="0" borderId="49" xfId="6" applyFont="1" applyBorder="1" applyAlignment="1">
      <alignment horizontal="left" vertical="center" wrapText="1"/>
    </xf>
    <xf numFmtId="0" fontId="27" fillId="0" borderId="50" xfId="6" applyFont="1" applyBorder="1" applyAlignment="1">
      <alignment horizontal="left" vertical="center" wrapText="1"/>
    </xf>
    <xf numFmtId="0" fontId="42" fillId="0" borderId="50" xfId="6" applyFont="1" applyBorder="1" applyAlignment="1">
      <alignment horizontal="center" vertical="center" wrapText="1"/>
    </xf>
    <xf numFmtId="0" fontId="42" fillId="0" borderId="51" xfId="6" applyFont="1" applyBorder="1" applyAlignment="1">
      <alignment horizontal="center" vertical="center" wrapText="1"/>
    </xf>
    <xf numFmtId="0" fontId="42" fillId="0" borderId="34" xfId="6" applyFont="1" applyBorder="1" applyAlignment="1">
      <alignment horizontal="center" vertical="center" wrapText="1"/>
    </xf>
    <xf numFmtId="0" fontId="42" fillId="0" borderId="35" xfId="6" applyFont="1" applyBorder="1" applyAlignment="1">
      <alignment horizontal="center" vertical="center" wrapText="1"/>
    </xf>
    <xf numFmtId="0" fontId="26" fillId="0" borderId="38" xfId="6" applyFont="1" applyBorder="1" applyAlignment="1">
      <alignment horizontal="left" vertical="center" wrapText="1"/>
    </xf>
    <xf numFmtId="0" fontId="26" fillId="0" borderId="3" xfId="6" applyFont="1" applyBorder="1" applyAlignment="1">
      <alignment horizontal="left" vertical="center" wrapText="1"/>
    </xf>
    <xf numFmtId="0" fontId="39" fillId="0" borderId="2" xfId="6" applyFont="1" applyBorder="1" applyAlignment="1">
      <alignment horizontal="center" vertical="center" wrapText="1"/>
    </xf>
    <xf numFmtId="0" fontId="39" fillId="0" borderId="3" xfId="6" applyFont="1" applyBorder="1" applyAlignment="1">
      <alignment horizontal="center" vertical="center" wrapText="1"/>
    </xf>
    <xf numFmtId="0" fontId="39" fillId="0" borderId="4" xfId="6" applyFont="1" applyBorder="1" applyAlignment="1">
      <alignment horizontal="center" vertical="center" wrapText="1"/>
    </xf>
    <xf numFmtId="0" fontId="39" fillId="0" borderId="39" xfId="6" applyFont="1" applyBorder="1" applyAlignment="1">
      <alignment horizontal="center" vertical="center" wrapText="1"/>
    </xf>
    <xf numFmtId="0" fontId="36" fillId="0" borderId="37" xfId="6" applyFont="1" applyBorder="1" applyAlignment="1">
      <alignment horizontal="left" vertical="center" wrapText="1"/>
    </xf>
    <xf numFmtId="0" fontId="39" fillId="0" borderId="31" xfId="6" applyFont="1" applyBorder="1" applyAlignment="1">
      <alignment horizontal="center" vertical="center" wrapText="1"/>
    </xf>
    <xf numFmtId="0" fontId="39" fillId="0" borderId="29" xfId="6" applyFont="1" applyBorder="1" applyAlignment="1">
      <alignment horizontal="center" vertical="center" wrapText="1"/>
    </xf>
    <xf numFmtId="0" fontId="39" fillId="0" borderId="30" xfId="6" applyFont="1" applyBorder="1" applyAlignment="1">
      <alignment horizontal="center" vertical="center" wrapText="1"/>
    </xf>
    <xf numFmtId="0" fontId="39" fillId="0" borderId="32" xfId="6" applyFont="1" applyBorder="1" applyAlignment="1">
      <alignment horizontal="center" vertical="center" wrapText="1"/>
    </xf>
    <xf numFmtId="0" fontId="42" fillId="0" borderId="2" xfId="6" applyFont="1" applyBorder="1" applyAlignment="1">
      <alignment horizontal="center" vertical="center" wrapText="1"/>
    </xf>
    <xf numFmtId="0" fontId="42" fillId="0" borderId="3" xfId="6" applyFont="1" applyBorder="1" applyAlignment="1">
      <alignment horizontal="center" vertical="center" wrapText="1"/>
    </xf>
    <xf numFmtId="0" fontId="42" fillId="0" borderId="39" xfId="6" applyFont="1" applyBorder="1" applyAlignment="1">
      <alignment horizontal="center" vertical="center" wrapText="1"/>
    </xf>
    <xf numFmtId="0" fontId="26" fillId="0" borderId="47" xfId="6" applyFont="1" applyBorder="1" applyAlignment="1">
      <alignment horizontal="left" vertical="center" wrapText="1"/>
    </xf>
    <xf numFmtId="0" fontId="26" fillId="0" borderId="47" xfId="6" applyFont="1" applyBorder="1" applyAlignment="1">
      <alignment horizontal="center" vertical="center" wrapText="1"/>
    </xf>
    <xf numFmtId="0" fontId="26" fillId="0" borderId="45" xfId="6" applyFont="1" applyBorder="1" applyAlignment="1">
      <alignment horizontal="center" vertical="center" wrapText="1"/>
    </xf>
    <xf numFmtId="0" fontId="26" fillId="0" borderId="48" xfId="6" applyFont="1" applyBorder="1" applyAlignment="1">
      <alignment horizontal="center" vertical="center" wrapText="1"/>
    </xf>
    <xf numFmtId="0" fontId="38" fillId="0" borderId="47" xfId="6" applyFont="1" applyBorder="1" applyAlignment="1">
      <alignment horizontal="center" vertical="center" wrapText="1"/>
    </xf>
    <xf numFmtId="0" fontId="38" fillId="0" borderId="45" xfId="6" applyFont="1" applyBorder="1" applyAlignment="1">
      <alignment horizontal="center" vertical="center" wrapText="1"/>
    </xf>
    <xf numFmtId="0" fontId="38" fillId="0" borderId="48" xfId="6" applyFont="1" applyBorder="1" applyAlignment="1">
      <alignment horizontal="center" vertical="center" wrapText="1"/>
    </xf>
    <xf numFmtId="0" fontId="26" fillId="0" borderId="56" xfId="6" applyFont="1" applyBorder="1" applyAlignment="1">
      <alignment horizontal="left" vertical="center" wrapText="1"/>
    </xf>
    <xf numFmtId="0" fontId="26" fillId="0" borderId="6" xfId="6" applyFont="1" applyBorder="1" applyAlignment="1">
      <alignment horizontal="left" vertical="center" wrapText="1"/>
    </xf>
    <xf numFmtId="0" fontId="26" fillId="0" borderId="7" xfId="6" applyFont="1" applyBorder="1" applyAlignment="1">
      <alignment horizontal="left" vertical="center" wrapText="1"/>
    </xf>
    <xf numFmtId="0" fontId="26" fillId="0" borderId="13" xfId="6" applyFont="1" applyBorder="1" applyAlignment="1">
      <alignment horizontal="left" vertical="center" wrapText="1"/>
    </xf>
    <xf numFmtId="0" fontId="26" fillId="0" borderId="14" xfId="6" applyFont="1" applyBorder="1" applyAlignment="1">
      <alignment horizontal="left" vertical="center" wrapText="1"/>
    </xf>
    <xf numFmtId="0" fontId="26" fillId="0" borderId="57" xfId="6" applyFont="1" applyBorder="1" applyAlignment="1">
      <alignment horizontal="left" vertical="center" wrapText="1"/>
    </xf>
    <xf numFmtId="0" fontId="26" fillId="0" borderId="2" xfId="6" applyFont="1" applyBorder="1" applyAlignment="1">
      <alignment horizontal="left" vertical="center" wrapText="1"/>
    </xf>
    <xf numFmtId="0" fontId="26" fillId="0" borderId="39" xfId="6" applyFont="1" applyBorder="1" applyAlignment="1">
      <alignment horizontal="left" vertical="center" wrapText="1"/>
    </xf>
    <xf numFmtId="0" fontId="38" fillId="0" borderId="2" xfId="6" applyFont="1" applyBorder="1" applyAlignment="1">
      <alignment horizontal="center" vertical="center" wrapText="1"/>
    </xf>
    <xf numFmtId="0" fontId="38" fillId="0" borderId="3" xfId="6" applyFont="1" applyBorder="1" applyAlignment="1">
      <alignment horizontal="center" vertical="center" wrapText="1"/>
    </xf>
    <xf numFmtId="0" fontId="38" fillId="0" borderId="39" xfId="6" applyFont="1" applyBorder="1" applyAlignment="1">
      <alignment horizontal="center" vertical="center" wrapText="1"/>
    </xf>
    <xf numFmtId="0" fontId="42" fillId="0" borderId="31" xfId="6" applyFont="1" applyBorder="1" applyAlignment="1">
      <alignment horizontal="center" vertical="center" wrapText="1"/>
    </xf>
    <xf numFmtId="0" fontId="42" fillId="0" borderId="29" xfId="6" applyFont="1" applyBorder="1" applyAlignment="1">
      <alignment horizontal="center" vertical="center" wrapText="1"/>
    </xf>
    <xf numFmtId="0" fontId="42" fillId="0" borderId="32" xfId="6" applyFont="1" applyBorder="1" applyAlignment="1">
      <alignment horizontal="center" vertical="center" wrapText="1"/>
    </xf>
    <xf numFmtId="0" fontId="26" fillId="0" borderId="52" xfId="6" applyFont="1" applyBorder="1" applyAlignment="1">
      <alignment horizontal="left" vertical="center" wrapText="1"/>
    </xf>
    <xf numFmtId="0" fontId="26" fillId="0" borderId="53" xfId="6" applyFont="1" applyBorder="1" applyAlignment="1">
      <alignment horizontal="left" vertical="center" wrapText="1"/>
    </xf>
    <xf numFmtId="0" fontId="26" fillId="0" borderId="54" xfId="6" applyFont="1" applyBorder="1" applyAlignment="1">
      <alignment horizontal="left" vertical="center" wrapText="1"/>
    </xf>
    <xf numFmtId="0" fontId="26" fillId="0" borderId="55" xfId="6" applyFont="1" applyBorder="1" applyAlignment="1">
      <alignment horizontal="left" vertical="center" wrapText="1"/>
    </xf>
    <xf numFmtId="0" fontId="26" fillId="0" borderId="9" xfId="6" applyFont="1" applyBorder="1" applyAlignment="1">
      <alignment horizontal="left" vertical="center" wrapText="1"/>
    </xf>
    <xf numFmtId="0" fontId="26" fillId="0" borderId="10" xfId="6" applyFont="1" applyBorder="1" applyAlignment="1">
      <alignment horizontal="left" vertical="center" wrapText="1"/>
    </xf>
    <xf numFmtId="0" fontId="42" fillId="0" borderId="28" xfId="6" applyFont="1" applyBorder="1" applyAlignment="1">
      <alignment horizontal="center" vertical="center" wrapText="1"/>
    </xf>
    <xf numFmtId="0" fontId="40" fillId="0" borderId="44" xfId="6" applyFont="1" applyBorder="1" applyAlignment="1">
      <alignment horizontal="center" vertical="center" wrapText="1"/>
    </xf>
    <xf numFmtId="0" fontId="40" fillId="0" borderId="45" xfId="6" applyFont="1" applyBorder="1" applyAlignment="1">
      <alignment horizontal="center" vertical="center" wrapText="1"/>
    </xf>
    <xf numFmtId="0" fontId="40" fillId="0" borderId="46" xfId="6" applyFont="1" applyBorder="1" applyAlignment="1">
      <alignment horizontal="center" vertical="center" wrapText="1"/>
    </xf>
    <xf numFmtId="0" fontId="38" fillId="0" borderId="44" xfId="6" applyFont="1" applyBorder="1" applyAlignment="1">
      <alignment horizontal="center" vertical="center" wrapText="1"/>
    </xf>
    <xf numFmtId="0" fontId="39" fillId="0" borderId="28" xfId="6" applyFont="1" applyBorder="1" applyAlignment="1">
      <alignment horizontal="center" vertical="center" wrapText="1"/>
    </xf>
    <xf numFmtId="38" fontId="38" fillId="0" borderId="21" xfId="6" applyNumberFormat="1" applyFont="1" applyBorder="1" applyAlignment="1">
      <alignment horizontal="center" vertical="center" wrapText="1"/>
    </xf>
    <xf numFmtId="38" fontId="38" fillId="0" borderId="22" xfId="6" applyNumberFormat="1" applyFont="1" applyBorder="1" applyAlignment="1">
      <alignment horizontal="center" vertical="center" wrapText="1"/>
    </xf>
    <xf numFmtId="38" fontId="38" fillId="0" borderId="23" xfId="6" applyNumberFormat="1" applyFont="1" applyBorder="1" applyAlignment="1">
      <alignment horizontal="center" vertical="center" wrapText="1"/>
    </xf>
    <xf numFmtId="0" fontId="36" fillId="0" borderId="26" xfId="6" applyFont="1" applyBorder="1" applyAlignment="1">
      <alignment horizontal="left" vertical="center" wrapText="1"/>
    </xf>
    <xf numFmtId="0" fontId="36" fillId="0" borderId="36" xfId="6" applyFont="1" applyBorder="1" applyAlignment="1">
      <alignment horizontal="left" vertical="center" wrapText="1"/>
    </xf>
    <xf numFmtId="0" fontId="36" fillId="0" borderId="42" xfId="6" applyFont="1" applyBorder="1" applyAlignment="1">
      <alignment horizontal="left" vertical="center" wrapText="1"/>
    </xf>
    <xf numFmtId="0" fontId="38" fillId="0" borderId="21" xfId="6" applyFont="1" applyBorder="1" applyAlignment="1">
      <alignment horizontal="center" vertical="center" wrapText="1"/>
    </xf>
    <xf numFmtId="0" fontId="38" fillId="0" borderId="22" xfId="6" applyFont="1" applyBorder="1" applyAlignment="1">
      <alignment horizontal="center" vertical="center" wrapText="1"/>
    </xf>
    <xf numFmtId="0" fontId="38" fillId="0" borderId="23" xfId="6" applyFont="1" applyBorder="1" applyAlignment="1">
      <alignment horizontal="center" vertical="center" wrapText="1"/>
    </xf>
    <xf numFmtId="0" fontId="26" fillId="0" borderId="17" xfId="6" applyFont="1" applyBorder="1" applyAlignment="1">
      <alignment horizontal="left" vertical="center" wrapText="1"/>
    </xf>
    <xf numFmtId="0" fontId="26" fillId="0" borderId="18" xfId="6" applyFont="1" applyBorder="1" applyAlignment="1">
      <alignment horizontal="left" vertical="center" wrapText="1"/>
    </xf>
    <xf numFmtId="0" fontId="26" fillId="0" borderId="19" xfId="6" applyFont="1" applyBorder="1" applyAlignment="1">
      <alignment horizontal="left" vertical="center" wrapText="1"/>
    </xf>
    <xf numFmtId="0" fontId="32" fillId="0" borderId="0" xfId="6" applyFont="1" applyAlignment="1">
      <alignment horizontal="center" vertical="center"/>
    </xf>
    <xf numFmtId="0" fontId="33" fillId="0" borderId="0" xfId="6" applyFont="1" applyAlignment="1">
      <alignment horizontal="center" vertical="center"/>
    </xf>
    <xf numFmtId="0" fontId="34" fillId="0" borderId="0" xfId="6" applyFont="1" applyAlignment="1">
      <alignment horizontal="center" vertical="center"/>
    </xf>
    <xf numFmtId="0" fontId="35" fillId="0" borderId="0" xfId="6" applyFont="1" applyAlignment="1">
      <alignment horizontal="center" vertical="center"/>
    </xf>
    <xf numFmtId="0" fontId="26" fillId="0" borderId="33" xfId="6" applyFont="1" applyBorder="1" applyAlignment="1">
      <alignment horizontal="center" vertical="center" wrapText="1"/>
    </xf>
    <xf numFmtId="0" fontId="26" fillId="0" borderId="34" xfId="6" applyFont="1" applyBorder="1" applyAlignment="1">
      <alignment horizontal="center" vertical="center" wrapText="1"/>
    </xf>
    <xf numFmtId="0" fontId="26" fillId="0" borderId="35" xfId="6" applyFont="1" applyBorder="1" applyAlignment="1">
      <alignment horizontal="center" vertical="center" wrapText="1"/>
    </xf>
    <xf numFmtId="0" fontId="26" fillId="0" borderId="30" xfId="6" applyFont="1" applyBorder="1" applyAlignment="1">
      <alignment horizontal="center" vertical="center" wrapText="1"/>
    </xf>
    <xf numFmtId="0" fontId="58" fillId="0" borderId="50" xfId="6" applyFont="1" applyBorder="1" applyAlignment="1">
      <alignment horizontal="left" vertical="center" wrapText="1"/>
    </xf>
    <xf numFmtId="0" fontId="58" fillId="0" borderId="51" xfId="6" applyFont="1" applyBorder="1" applyAlignment="1">
      <alignment horizontal="left" vertical="center" wrapText="1"/>
    </xf>
    <xf numFmtId="38" fontId="58" fillId="0" borderId="44" xfId="1" applyNumberFormat="1" applyFont="1" applyBorder="1" applyAlignment="1">
      <alignment horizontal="center" vertical="center" wrapText="1"/>
    </xf>
    <xf numFmtId="38" fontId="58" fillId="0" borderId="45" xfId="1" applyNumberFormat="1" applyFont="1" applyBorder="1" applyAlignment="1">
      <alignment horizontal="center" vertical="center" wrapText="1"/>
    </xf>
    <xf numFmtId="38" fontId="58" fillId="0" borderId="48" xfId="1" applyNumberFormat="1" applyFont="1" applyBorder="1" applyAlignment="1">
      <alignment horizontal="center" vertical="center" wrapText="1"/>
    </xf>
    <xf numFmtId="0" fontId="40" fillId="0" borderId="50" xfId="6" applyFont="1" applyBorder="1" applyAlignment="1">
      <alignment horizontal="left" vertical="center" wrapText="1"/>
    </xf>
    <xf numFmtId="0" fontId="40" fillId="0" borderId="51" xfId="6" applyFont="1" applyBorder="1" applyAlignment="1">
      <alignment horizontal="left" vertical="center" wrapText="1"/>
    </xf>
    <xf numFmtId="38" fontId="47" fillId="0" borderId="50" xfId="1" applyNumberFormat="1" applyFont="1" applyBorder="1" applyAlignment="1">
      <alignment horizontal="left" vertical="center" wrapText="1"/>
    </xf>
    <xf numFmtId="38" fontId="47" fillId="0" borderId="51" xfId="1" applyNumberFormat="1" applyFont="1" applyBorder="1" applyAlignment="1">
      <alignment horizontal="left" vertical="center" wrapText="1"/>
    </xf>
    <xf numFmtId="0" fontId="54" fillId="0" borderId="20" xfId="6" applyFont="1" applyBorder="1" applyAlignment="1">
      <alignment horizontal="left" vertical="center" wrapText="1"/>
    </xf>
    <xf numFmtId="0" fontId="29" fillId="0" borderId="33" xfId="6" applyFont="1" applyBorder="1" applyAlignment="1">
      <alignment horizontal="center" vertical="center" wrapText="1"/>
    </xf>
    <xf numFmtId="0" fontId="29" fillId="0" borderId="34" xfId="6" applyFont="1" applyBorder="1" applyAlignment="1">
      <alignment horizontal="center" vertical="center" wrapText="1"/>
    </xf>
    <xf numFmtId="0" fontId="29" fillId="0" borderId="35" xfId="6" applyFont="1" applyBorder="1" applyAlignment="1">
      <alignment horizontal="center" vertical="center" wrapText="1"/>
    </xf>
    <xf numFmtId="0" fontId="36" fillId="0" borderId="20" xfId="6" applyFont="1" applyBorder="1" applyAlignment="1">
      <alignment horizontal="left" vertical="center" wrapText="1"/>
    </xf>
    <xf numFmtId="38" fontId="26" fillId="0" borderId="1" xfId="6" applyNumberFormat="1" applyFont="1" applyBorder="1" applyAlignment="1">
      <alignment horizontal="center" vertical="center" wrapText="1"/>
    </xf>
    <xf numFmtId="0" fontId="26" fillId="0" borderId="1" xfId="6" applyFont="1" applyBorder="1" applyAlignment="1">
      <alignment horizontal="center" vertical="center" wrapText="1"/>
    </xf>
    <xf numFmtId="0" fontId="26" fillId="0" borderId="41" xfId="6" applyFont="1" applyBorder="1" applyAlignment="1">
      <alignment horizontal="center" vertical="center" wrapText="1"/>
    </xf>
    <xf numFmtId="0" fontId="29" fillId="0" borderId="40" xfId="6" applyFont="1" applyBorder="1" applyAlignment="1">
      <alignment horizontal="left" vertical="center" wrapText="1"/>
    </xf>
    <xf numFmtId="0" fontId="29" fillId="0" borderId="1" xfId="6" applyFont="1" applyBorder="1" applyAlignment="1">
      <alignment horizontal="left" vertical="center" wrapText="1"/>
    </xf>
    <xf numFmtId="38" fontId="55" fillId="0" borderId="1" xfId="6" applyNumberFormat="1" applyFont="1" applyBorder="1" applyAlignment="1">
      <alignment horizontal="center" vertical="center" wrapText="1"/>
    </xf>
    <xf numFmtId="0" fontId="55" fillId="0" borderId="1" xfId="6" applyFont="1" applyBorder="1" applyAlignment="1">
      <alignment horizontal="center" vertical="center" wrapText="1"/>
    </xf>
    <xf numFmtId="0" fontId="55" fillId="0" borderId="41" xfId="6" applyFont="1" applyBorder="1" applyAlignment="1">
      <alignment horizontal="center" vertical="center" wrapText="1"/>
    </xf>
    <xf numFmtId="0" fontId="26" fillId="0" borderId="40" xfId="6" applyFont="1" applyBorder="1" applyAlignment="1">
      <alignment horizontal="left" vertical="center" wrapText="1"/>
    </xf>
    <xf numFmtId="38" fontId="55" fillId="0" borderId="34" xfId="6" applyNumberFormat="1" applyFont="1" applyBorder="1" applyAlignment="1">
      <alignment horizontal="center" vertical="center" wrapText="1"/>
    </xf>
    <xf numFmtId="0" fontId="55" fillId="0" borderId="34" xfId="6" applyFont="1" applyBorder="1" applyAlignment="1">
      <alignment horizontal="center" vertical="center" wrapText="1"/>
    </xf>
    <xf numFmtId="0" fontId="55" fillId="0" borderId="35" xfId="6" applyFont="1" applyBorder="1" applyAlignment="1">
      <alignment horizontal="center" vertical="center" wrapText="1"/>
    </xf>
    <xf numFmtId="0" fontId="36" fillId="0" borderId="20" xfId="6" applyFont="1" applyBorder="1" applyAlignment="1">
      <alignment horizontal="center" vertical="center" wrapText="1"/>
    </xf>
    <xf numFmtId="0" fontId="26" fillId="0" borderId="33" xfId="6" applyFont="1" applyBorder="1" applyAlignment="1">
      <alignment horizontal="left" vertical="center" wrapText="1"/>
    </xf>
    <xf numFmtId="0" fontId="26" fillId="0" borderId="34" xfId="6" applyFont="1" applyBorder="1" applyAlignment="1">
      <alignment horizontal="left" vertical="center" wrapText="1"/>
    </xf>
    <xf numFmtId="38" fontId="26" fillId="0" borderId="34" xfId="6" applyNumberFormat="1" applyFont="1" applyBorder="1" applyAlignment="1">
      <alignment horizontal="center" vertical="center" wrapText="1"/>
    </xf>
    <xf numFmtId="38" fontId="29" fillId="0" borderId="40" xfId="6" applyNumberFormat="1" applyFont="1" applyBorder="1" applyAlignment="1">
      <alignment horizontal="left" vertical="center" wrapText="1"/>
    </xf>
    <xf numFmtId="38" fontId="26" fillId="0" borderId="40" xfId="6" applyNumberFormat="1" applyFont="1" applyBorder="1" applyAlignment="1">
      <alignment horizontal="left" vertical="center" wrapText="1"/>
    </xf>
    <xf numFmtId="0" fontId="54" fillId="0" borderId="20" xfId="6" applyFont="1" applyBorder="1" applyAlignment="1">
      <alignment horizontal="center" vertical="center" wrapText="1"/>
    </xf>
    <xf numFmtId="0" fontId="29" fillId="0" borderId="33" xfId="6" applyFont="1" applyBorder="1" applyAlignment="1">
      <alignment horizontal="left" vertical="center" wrapText="1"/>
    </xf>
    <xf numFmtId="0" fontId="29" fillId="0" borderId="34" xfId="6" applyFont="1" applyBorder="1" applyAlignment="1">
      <alignment horizontal="left" vertical="center" wrapText="1"/>
    </xf>
    <xf numFmtId="171" fontId="55" fillId="0" borderId="20" xfId="2" applyNumberFormat="1" applyFont="1" applyBorder="1" applyAlignment="1">
      <alignment horizontal="center" vertical="center" wrapText="1"/>
    </xf>
    <xf numFmtId="171" fontId="26" fillId="0" borderId="20" xfId="2" applyNumberFormat="1" applyFont="1" applyBorder="1" applyAlignment="1">
      <alignment horizontal="center" vertical="center" wrapText="1"/>
    </xf>
    <xf numFmtId="38" fontId="55" fillId="0" borderId="20" xfId="6" applyNumberFormat="1" applyFont="1" applyBorder="1" applyAlignment="1">
      <alignment horizontal="center" vertical="center" wrapText="1"/>
    </xf>
    <xf numFmtId="0" fontId="55" fillId="0" borderId="20" xfId="6" applyFont="1" applyBorder="1" applyAlignment="1">
      <alignment horizontal="center" vertical="center" wrapText="1"/>
    </xf>
    <xf numFmtId="38" fontId="26" fillId="0" borderId="20" xfId="6" applyNumberFormat="1" applyFont="1" applyBorder="1" applyAlignment="1">
      <alignment horizontal="center" vertical="center" wrapText="1"/>
    </xf>
    <xf numFmtId="0" fontId="26" fillId="0" borderId="20" xfId="6" applyFont="1" applyBorder="1" applyAlignment="1">
      <alignment horizontal="center" vertical="center" wrapText="1"/>
    </xf>
    <xf numFmtId="40" fontId="55" fillId="0" borderId="20" xfId="6" applyNumberFormat="1" applyFont="1" applyBorder="1" applyAlignment="1">
      <alignment horizontal="center" vertical="center" wrapText="1"/>
    </xf>
    <xf numFmtId="40" fontId="26" fillId="0" borderId="20" xfId="6" applyNumberFormat="1" applyFont="1" applyBorder="1" applyAlignment="1">
      <alignment horizontal="center" vertical="center" wrapText="1"/>
    </xf>
    <xf numFmtId="38" fontId="55" fillId="0" borderId="50" xfId="6" applyNumberFormat="1" applyFont="1" applyBorder="1" applyAlignment="1">
      <alignment horizontal="center" vertical="center" wrapText="1"/>
    </xf>
    <xf numFmtId="0" fontId="55" fillId="0" borderId="50" xfId="6" applyFont="1" applyBorder="1" applyAlignment="1">
      <alignment horizontal="center" vertical="center" wrapText="1"/>
    </xf>
    <xf numFmtId="0" fontId="55" fillId="0" borderId="51" xfId="6" applyFont="1" applyBorder="1" applyAlignment="1">
      <alignment horizontal="center" vertical="center" wrapText="1"/>
    </xf>
    <xf numFmtId="38" fontId="26" fillId="0" borderId="49" xfId="6" applyNumberFormat="1" applyFont="1" applyBorder="1" applyAlignment="1">
      <alignment horizontal="left" vertical="center" wrapText="1"/>
    </xf>
    <xf numFmtId="0" fontId="26" fillId="0" borderId="50" xfId="6" applyFont="1" applyBorder="1" applyAlignment="1">
      <alignment horizontal="left" vertical="center" wrapText="1"/>
    </xf>
    <xf numFmtId="38" fontId="26" fillId="0" borderId="50" xfId="6" applyNumberFormat="1" applyFont="1" applyBorder="1" applyAlignment="1">
      <alignment horizontal="left" vertical="center" wrapText="1"/>
    </xf>
    <xf numFmtId="0" fontId="26" fillId="0" borderId="51" xfId="6" applyFont="1" applyBorder="1" applyAlignment="1">
      <alignment horizontal="left" vertical="center" wrapText="1"/>
    </xf>
    <xf numFmtId="38" fontId="55" fillId="0" borderId="49" xfId="6" applyNumberFormat="1" applyFont="1" applyBorder="1" applyAlignment="1">
      <alignment horizontal="center" vertical="center" wrapText="1"/>
    </xf>
    <xf numFmtId="0" fontId="58" fillId="0" borderId="34" xfId="6" applyFont="1" applyBorder="1" applyAlignment="1">
      <alignment horizontal="center" vertical="center" wrapText="1"/>
    </xf>
    <xf numFmtId="0" fontId="58" fillId="0" borderId="35" xfId="6" applyFont="1" applyBorder="1" applyAlignment="1">
      <alignment horizontal="center" vertical="center" wrapText="1"/>
    </xf>
    <xf numFmtId="0" fontId="40" fillId="0" borderId="33" xfId="6" applyFont="1" applyBorder="1" applyAlignment="1">
      <alignment horizontal="center" vertical="center" wrapText="1"/>
    </xf>
    <xf numFmtId="0" fontId="40" fillId="0" borderId="34" xfId="6" applyFont="1" applyBorder="1" applyAlignment="1">
      <alignment horizontal="center" vertical="center" wrapText="1"/>
    </xf>
    <xf numFmtId="0" fontId="40" fillId="0" borderId="35" xfId="6" applyFont="1" applyBorder="1" applyAlignment="1">
      <alignment horizontal="center" vertical="center" wrapText="1"/>
    </xf>
    <xf numFmtId="0" fontId="58" fillId="0" borderId="33" xfId="6" applyFont="1" applyBorder="1" applyAlignment="1">
      <alignment horizontal="center" vertical="center" wrapText="1"/>
    </xf>
    <xf numFmtId="0" fontId="29" fillId="0" borderId="20" xfId="6" applyFont="1" applyBorder="1" applyAlignment="1">
      <alignment horizontal="center" vertical="center" wrapText="1"/>
    </xf>
    <xf numFmtId="0" fontId="39" fillId="0" borderId="1" xfId="6" applyFont="1" applyBorder="1" applyAlignment="1">
      <alignment horizontal="center" vertical="center" wrapText="1"/>
    </xf>
    <xf numFmtId="0" fontId="39" fillId="0" borderId="41" xfId="6" applyFont="1" applyBorder="1" applyAlignment="1">
      <alignment horizontal="center" vertical="center" wrapText="1"/>
    </xf>
    <xf numFmtId="0" fontId="29" fillId="0" borderId="49" xfId="6" applyFont="1" applyBorder="1" applyAlignment="1">
      <alignment horizontal="left" vertical="center" wrapText="1"/>
    </xf>
    <xf numFmtId="0" fontId="29" fillId="0" borderId="50" xfId="6" applyFont="1" applyBorder="1" applyAlignment="1">
      <alignment horizontal="left" vertical="center" wrapText="1"/>
    </xf>
    <xf numFmtId="0" fontId="57" fillId="0" borderId="50" xfId="6" applyFont="1" applyBorder="1" applyAlignment="1">
      <alignment horizontal="center" vertical="center" wrapText="1"/>
    </xf>
    <xf numFmtId="0" fontId="57" fillId="0" borderId="51" xfId="6" applyFont="1" applyBorder="1" applyAlignment="1">
      <alignment horizontal="center" vertical="center" wrapText="1"/>
    </xf>
    <xf numFmtId="0" fontId="26" fillId="0" borderId="49" xfId="6" applyFont="1" applyBorder="1" applyAlignment="1">
      <alignment horizontal="left" vertical="center" wrapText="1"/>
    </xf>
    <xf numFmtId="0" fontId="39" fillId="0" borderId="50" xfId="6" applyFont="1" applyBorder="1" applyAlignment="1">
      <alignment horizontal="center" vertical="center" wrapText="1"/>
    </xf>
    <xf numFmtId="0" fontId="39" fillId="0" borderId="51" xfId="6" applyFont="1" applyBorder="1" applyAlignment="1">
      <alignment horizontal="center" vertical="center" wrapText="1"/>
    </xf>
    <xf numFmtId="0" fontId="39" fillId="0" borderId="34" xfId="6" applyFont="1" applyBorder="1" applyAlignment="1">
      <alignment horizontal="center" vertical="center" wrapText="1"/>
    </xf>
    <xf numFmtId="0" fontId="39" fillId="0" borderId="35" xfId="6" applyFont="1" applyBorder="1" applyAlignment="1">
      <alignment horizontal="center" vertical="center" wrapText="1"/>
    </xf>
    <xf numFmtId="0" fontId="57" fillId="0" borderId="1" xfId="6" applyFont="1" applyBorder="1" applyAlignment="1">
      <alignment horizontal="center" vertical="center" wrapText="1"/>
    </xf>
    <xf numFmtId="0" fontId="57" fillId="0" borderId="41" xfId="6" applyFont="1" applyBorder="1" applyAlignment="1">
      <alignment horizontal="center" vertical="center" wrapText="1"/>
    </xf>
    <xf numFmtId="0" fontId="57" fillId="0" borderId="34" xfId="6" applyFont="1" applyBorder="1" applyAlignment="1">
      <alignment horizontal="center" vertical="center" wrapText="1"/>
    </xf>
    <xf numFmtId="0" fontId="57" fillId="0" borderId="35" xfId="6" applyFont="1" applyBorder="1" applyAlignment="1">
      <alignment horizontal="center" vertical="center" wrapText="1"/>
    </xf>
    <xf numFmtId="0" fontId="55" fillId="0" borderId="47" xfId="6" applyFont="1" applyBorder="1" applyAlignment="1">
      <alignment horizontal="center" vertical="center" wrapText="1"/>
    </xf>
    <xf numFmtId="0" fontId="55" fillId="0" borderId="45" xfId="6" applyFont="1" applyBorder="1" applyAlignment="1">
      <alignment horizontal="center" vertical="center" wrapText="1"/>
    </xf>
    <xf numFmtId="0" fontId="55" fillId="0" borderId="48" xfId="6" applyFont="1" applyBorder="1" applyAlignment="1">
      <alignment horizontal="center" vertical="center" wrapText="1"/>
    </xf>
    <xf numFmtId="0" fontId="26" fillId="0" borderId="50" xfId="6" applyFont="1" applyBorder="1" applyAlignment="1">
      <alignment horizontal="center" vertical="center" wrapText="1"/>
    </xf>
    <xf numFmtId="0" fontId="26" fillId="0" borderId="51" xfId="6" applyFont="1" applyBorder="1" applyAlignment="1">
      <alignment horizontal="center" vertical="center" wrapText="1"/>
    </xf>
    <xf numFmtId="0" fontId="57" fillId="0" borderId="2" xfId="6" applyFont="1" applyBorder="1" applyAlignment="1">
      <alignment horizontal="center" vertical="center" wrapText="1"/>
    </xf>
    <xf numFmtId="0" fontId="57" fillId="0" borderId="3" xfId="6" applyFont="1" applyBorder="1" applyAlignment="1">
      <alignment horizontal="center" vertical="center" wrapText="1"/>
    </xf>
    <xf numFmtId="0" fontId="57" fillId="0" borderId="39" xfId="6" applyFont="1" applyBorder="1" applyAlignment="1">
      <alignment horizontal="center" vertical="center" wrapText="1"/>
    </xf>
    <xf numFmtId="0" fontId="55" fillId="0" borderId="2" xfId="6" applyFont="1" applyBorder="1" applyAlignment="1">
      <alignment horizontal="center" vertical="center" wrapText="1"/>
    </xf>
    <xf numFmtId="0" fontId="55" fillId="0" borderId="3" xfId="6" applyFont="1" applyBorder="1" applyAlignment="1">
      <alignment horizontal="center" vertical="center" wrapText="1"/>
    </xf>
    <xf numFmtId="0" fontId="55" fillId="0" borderId="39" xfId="6" applyFont="1" applyBorder="1" applyAlignment="1">
      <alignment horizontal="center" vertical="center" wrapText="1"/>
    </xf>
    <xf numFmtId="0" fontId="26" fillId="0" borderId="41" xfId="6" applyFont="1" applyBorder="1" applyAlignment="1">
      <alignment horizontal="left" vertical="center" wrapText="1"/>
    </xf>
    <xf numFmtId="0" fontId="57" fillId="0" borderId="31" xfId="6" applyFont="1" applyBorder="1" applyAlignment="1">
      <alignment horizontal="center" vertical="center" wrapText="1"/>
    </xf>
    <xf numFmtId="0" fontId="57" fillId="0" borderId="29" xfId="6" applyFont="1" applyBorder="1" applyAlignment="1">
      <alignment horizontal="center" vertical="center" wrapText="1"/>
    </xf>
    <xf numFmtId="0" fontId="57" fillId="0" borderId="32" xfId="6" applyFont="1" applyBorder="1" applyAlignment="1">
      <alignment horizontal="center" vertical="center" wrapText="1"/>
    </xf>
    <xf numFmtId="0" fontId="39" fillId="0" borderId="33" xfId="6" applyFont="1" applyBorder="1" applyAlignment="1">
      <alignment horizontal="center" vertical="center" wrapText="1"/>
    </xf>
    <xf numFmtId="0" fontId="55" fillId="0" borderId="44" xfId="6" applyFont="1" applyBorder="1" applyAlignment="1">
      <alignment horizontal="center" vertical="center" wrapText="1"/>
    </xf>
    <xf numFmtId="0" fontId="40" fillId="0" borderId="49" xfId="6" applyFont="1" applyBorder="1" applyAlignment="1">
      <alignment horizontal="center" vertical="center" wrapText="1"/>
    </xf>
    <xf numFmtId="0" fontId="40" fillId="0" borderId="50" xfId="6" applyFont="1" applyBorder="1" applyAlignment="1">
      <alignment horizontal="center" vertical="center" wrapText="1"/>
    </xf>
    <xf numFmtId="0" fontId="57" fillId="0" borderId="28" xfId="6" applyFont="1" applyBorder="1" applyAlignment="1">
      <alignment horizontal="center" vertical="center" wrapText="1"/>
    </xf>
    <xf numFmtId="38" fontId="55" fillId="0" borderId="21" xfId="6" applyNumberFormat="1" applyFont="1" applyBorder="1" applyAlignment="1">
      <alignment horizontal="center" vertical="center" wrapText="1"/>
    </xf>
    <xf numFmtId="38" fontId="55" fillId="0" borderId="22" xfId="6" applyNumberFormat="1" applyFont="1" applyBorder="1" applyAlignment="1">
      <alignment horizontal="center" vertical="center" wrapText="1"/>
    </xf>
    <xf numFmtId="38" fontId="55" fillId="0" borderId="23" xfId="6" applyNumberFormat="1" applyFont="1" applyBorder="1" applyAlignment="1">
      <alignment horizontal="center" vertical="center" wrapText="1"/>
    </xf>
    <xf numFmtId="0" fontId="55" fillId="0" borderId="21" xfId="6" applyFont="1" applyBorder="1" applyAlignment="1">
      <alignment horizontal="center" vertical="center" wrapText="1"/>
    </xf>
    <xf numFmtId="0" fontId="55" fillId="0" borderId="22" xfId="6" applyFont="1" applyBorder="1" applyAlignment="1">
      <alignment horizontal="center" vertical="center" wrapText="1"/>
    </xf>
    <xf numFmtId="0" fontId="55" fillId="0" borderId="23" xfId="6" applyFont="1" applyBorder="1" applyAlignment="1">
      <alignment horizontal="center" vertical="center" wrapText="1"/>
    </xf>
    <xf numFmtId="0" fontId="51" fillId="0" borderId="0" xfId="6" applyFont="1" applyAlignment="1">
      <alignment horizontal="center" vertical="center"/>
    </xf>
    <xf numFmtId="0" fontId="52" fillId="0" borderId="0" xfId="6" applyFont="1" applyAlignment="1">
      <alignment horizontal="center" vertical="center"/>
    </xf>
    <xf numFmtId="0" fontId="53" fillId="0" borderId="0" xfId="6" applyFont="1" applyAlignment="1">
      <alignment horizontal="center" vertical="center"/>
    </xf>
    <xf numFmtId="38" fontId="9" fillId="0" borderId="1" xfId="1" applyNumberFormat="1" applyFont="1" applyBorder="1" applyAlignment="1">
      <alignment horizontal="left" vertical="center" wrapText="1"/>
    </xf>
    <xf numFmtId="0" fontId="12" fillId="0" borderId="1" xfId="5" applyFont="1" applyBorder="1" applyAlignment="1">
      <alignment horizontal="left" vertical="center" wrapText="1"/>
    </xf>
    <xf numFmtId="0" fontId="12" fillId="0" borderId="0" xfId="5" applyFont="1" applyAlignment="1">
      <alignment horizontal="left" vertical="center" wrapText="1"/>
    </xf>
    <xf numFmtId="0" fontId="12" fillId="0" borderId="12" xfId="5" applyFont="1" applyBorder="1" applyAlignment="1">
      <alignment horizontal="left" vertical="center" wrapText="1"/>
    </xf>
    <xf numFmtId="0" fontId="12" fillId="0" borderId="14" xfId="5" applyFont="1" applyBorder="1" applyAlignment="1">
      <alignment horizontal="left" vertical="center" wrapText="1"/>
    </xf>
    <xf numFmtId="0" fontId="12" fillId="0" borderId="15" xfId="5" applyFont="1" applyBorder="1" applyAlignment="1">
      <alignment horizontal="left" vertical="center" wrapText="1"/>
    </xf>
    <xf numFmtId="0" fontId="12" fillId="0" borderId="0" xfId="5" applyFont="1" applyAlignment="1">
      <alignment horizontal="center" vertical="center" wrapText="1"/>
    </xf>
    <xf numFmtId="38" fontId="11" fillId="0" borderId="1" xfId="1" applyNumberFormat="1" applyFont="1" applyBorder="1" applyAlignment="1">
      <alignment horizontal="center" vertical="center" wrapText="1"/>
    </xf>
    <xf numFmtId="0" fontId="12" fillId="0" borderId="1" xfId="5" applyFont="1" applyBorder="1" applyAlignment="1">
      <alignment horizontal="center" vertical="center" wrapText="1"/>
    </xf>
    <xf numFmtId="0" fontId="7" fillId="0" borderId="1" xfId="4" applyFont="1" applyBorder="1" applyAlignment="1">
      <alignment horizontal="center" vertical="top"/>
    </xf>
    <xf numFmtId="0" fontId="8" fillId="0" borderId="1" xfId="5" applyFont="1" applyBorder="1" applyAlignment="1">
      <alignment horizontal="left" vertical="center" wrapText="1"/>
    </xf>
    <xf numFmtId="38" fontId="11" fillId="0" borderId="1" xfId="5" applyNumberFormat="1" applyFont="1" applyBorder="1" applyAlignment="1">
      <alignment horizontal="center" vertical="center" wrapText="1"/>
    </xf>
    <xf numFmtId="171" fontId="11" fillId="0" borderId="1" xfId="2" applyNumberFormat="1" applyFont="1" applyBorder="1" applyAlignment="1">
      <alignment horizontal="center" vertical="center" wrapText="1"/>
    </xf>
    <xf numFmtId="40" fontId="11" fillId="0" borderId="1" xfId="5" applyNumberFormat="1" applyFont="1" applyBorder="1" applyAlignment="1">
      <alignment horizontal="center" vertical="center" wrapText="1"/>
    </xf>
    <xf numFmtId="0" fontId="11" fillId="0" borderId="1" xfId="5" applyFont="1" applyBorder="1" applyAlignment="1">
      <alignment horizontal="center" vertical="center" wrapText="1"/>
    </xf>
    <xf numFmtId="164" fontId="11" fillId="0" borderId="1" xfId="1" applyNumberFormat="1" applyFont="1" applyBorder="1" applyAlignment="1">
      <alignment horizontal="center" vertical="center" wrapText="1"/>
    </xf>
    <xf numFmtId="38" fontId="9" fillId="0" borderId="1" xfId="1" applyNumberFormat="1" applyFont="1" applyBorder="1" applyAlignment="1">
      <alignment horizontal="center" vertical="center" wrapText="1"/>
    </xf>
    <xf numFmtId="164" fontId="11" fillId="0" borderId="1" xfId="1" applyNumberFormat="1" applyFont="1" applyBorder="1" applyAlignment="1">
      <alignment horizontal="right" vertical="center" wrapText="1"/>
    </xf>
    <xf numFmtId="0" fontId="9" fillId="0" borderId="1" xfId="5" applyFont="1" applyBorder="1" applyAlignment="1">
      <alignment horizontal="center" vertical="center" wrapText="1"/>
    </xf>
    <xf numFmtId="40" fontId="9" fillId="0" borderId="1" xfId="1" applyFont="1" applyBorder="1" applyAlignment="1">
      <alignment horizontal="center" vertical="center" wrapText="1"/>
    </xf>
    <xf numFmtId="0" fontId="9" fillId="0" borderId="2" xfId="5" applyFont="1" applyBorder="1" applyAlignment="1">
      <alignment horizontal="center" vertical="center" wrapText="1"/>
    </xf>
    <xf numFmtId="0" fontId="9" fillId="0" borderId="3" xfId="5" applyFont="1" applyBorder="1" applyAlignment="1">
      <alignment horizontal="center" vertical="center" wrapText="1"/>
    </xf>
    <xf numFmtId="0" fontId="9" fillId="0" borderId="4" xfId="5" applyFont="1" applyBorder="1" applyAlignment="1">
      <alignment horizontal="center" vertical="center" wrapText="1"/>
    </xf>
    <xf numFmtId="38" fontId="12" fillId="0" borderId="1" xfId="1" applyNumberFormat="1" applyFont="1" applyBorder="1" applyAlignment="1">
      <alignment horizontal="center" vertical="center" wrapText="1"/>
    </xf>
    <xf numFmtId="0" fontId="13" fillId="0" borderId="1" xfId="5" applyFont="1" applyBorder="1" applyAlignment="1">
      <alignment horizontal="center" vertical="center" wrapText="1"/>
    </xf>
    <xf numFmtId="40" fontId="12" fillId="0" borderId="2" xfId="1" applyFont="1" applyBorder="1" applyAlignment="1">
      <alignment horizontal="center" vertical="center" wrapText="1"/>
    </xf>
    <xf numFmtId="40" fontId="12" fillId="0" borderId="3" xfId="1" applyFont="1" applyBorder="1" applyAlignment="1">
      <alignment horizontal="center" vertical="center" wrapText="1"/>
    </xf>
    <xf numFmtId="40" fontId="12" fillId="0" borderId="4" xfId="1" applyFont="1" applyBorder="1" applyAlignment="1">
      <alignment horizontal="center" vertical="center" wrapText="1"/>
    </xf>
    <xf numFmtId="40" fontId="12" fillId="0" borderId="1" xfId="1" applyFont="1" applyBorder="1" applyAlignment="1">
      <alignment horizontal="center" vertical="center" wrapText="1"/>
    </xf>
    <xf numFmtId="16" fontId="12" fillId="0" borderId="1" xfId="5" applyNumberFormat="1" applyFont="1" applyBorder="1" applyAlignment="1">
      <alignment horizontal="center" vertical="center" wrapText="1"/>
    </xf>
    <xf numFmtId="0" fontId="11" fillId="0" borderId="2" xfId="5" applyFont="1" applyBorder="1" applyAlignment="1">
      <alignment horizontal="center" vertical="center" wrapText="1"/>
    </xf>
    <xf numFmtId="0" fontId="11" fillId="0" borderId="3" xfId="5" applyFont="1" applyBorder="1" applyAlignment="1">
      <alignment horizontal="center" vertical="center" wrapText="1"/>
    </xf>
    <xf numFmtId="0" fontId="11" fillId="0" borderId="4" xfId="5" applyFont="1" applyBorder="1" applyAlignment="1">
      <alignment horizontal="center" vertical="center" wrapText="1"/>
    </xf>
    <xf numFmtId="0" fontId="13" fillId="0" borderId="2" xfId="5" applyFont="1" applyBorder="1" applyAlignment="1">
      <alignment horizontal="center" vertical="top" wrapText="1"/>
    </xf>
    <xf numFmtId="0" fontId="13" fillId="0" borderId="3" xfId="5" applyFont="1" applyBorder="1" applyAlignment="1">
      <alignment horizontal="center" vertical="top" wrapText="1"/>
    </xf>
    <xf numFmtId="0" fontId="13" fillId="0" borderId="4" xfId="5" applyFont="1" applyBorder="1" applyAlignment="1">
      <alignment horizontal="center" vertical="top" wrapText="1"/>
    </xf>
    <xf numFmtId="0" fontId="12" fillId="0" borderId="2" xfId="5" applyFont="1" applyBorder="1" applyAlignment="1">
      <alignment horizontal="center" vertical="center" wrapText="1"/>
    </xf>
    <xf numFmtId="0" fontId="12" fillId="0" borderId="3" xfId="5" applyFont="1" applyBorder="1" applyAlignment="1">
      <alignment horizontal="center" vertical="center" wrapText="1"/>
    </xf>
    <xf numFmtId="0" fontId="12" fillId="0" borderId="4" xfId="5" applyFont="1" applyBorder="1" applyAlignment="1">
      <alignment horizontal="center" vertical="center" wrapText="1"/>
    </xf>
    <xf numFmtId="38" fontId="11" fillId="0" borderId="2" xfId="1" applyNumberFormat="1" applyFont="1" applyBorder="1" applyAlignment="1">
      <alignment horizontal="center" vertical="center" wrapText="1"/>
    </xf>
    <xf numFmtId="38" fontId="11" fillId="0" borderId="3" xfId="1" applyNumberFormat="1" applyFont="1" applyBorder="1" applyAlignment="1">
      <alignment horizontal="center" vertical="center" wrapText="1"/>
    </xf>
    <xf numFmtId="38" fontId="11" fillId="0" borderId="4" xfId="1" applyNumberFormat="1" applyFont="1" applyBorder="1" applyAlignment="1">
      <alignment horizontal="center" vertical="center" wrapText="1"/>
    </xf>
    <xf numFmtId="168" fontId="11" fillId="0" borderId="1" xfId="1" applyNumberFormat="1" applyFont="1" applyBorder="1" applyAlignment="1">
      <alignment horizontal="center" vertical="center" wrapText="1"/>
    </xf>
    <xf numFmtId="0" fontId="20" fillId="0" borderId="1" xfId="3" applyBorder="1" applyAlignment="1" applyProtection="1">
      <alignment horizontal="center" vertical="center"/>
    </xf>
    <xf numFmtId="0" fontId="21" fillId="0" borderId="1" xfId="0" applyFont="1" applyBorder="1" applyAlignment="1">
      <alignment horizontal="center" vertical="center"/>
    </xf>
    <xf numFmtId="0" fontId="22" fillId="0" borderId="2" xfId="5" applyFont="1" applyBorder="1" applyAlignment="1">
      <alignment horizontal="center" vertical="top" wrapText="1"/>
    </xf>
    <xf numFmtId="10" fontId="11" fillId="0" borderId="1" xfId="2" applyNumberFormat="1" applyFont="1" applyBorder="1" applyAlignment="1">
      <alignment horizontal="center" vertical="center" wrapText="1"/>
    </xf>
    <xf numFmtId="9" fontId="11" fillId="0" borderId="1" xfId="2" applyFont="1" applyBorder="1" applyAlignment="1">
      <alignment horizontal="center" vertical="center" wrapText="1"/>
    </xf>
    <xf numFmtId="164" fontId="9" fillId="0" borderId="1" xfId="5" applyNumberFormat="1" applyFont="1" applyBorder="1" applyAlignment="1">
      <alignment horizontal="center" vertical="center" wrapText="1"/>
    </xf>
    <xf numFmtId="0" fontId="18" fillId="0" borderId="1" xfId="5" applyFont="1" applyBorder="1" applyAlignment="1">
      <alignment horizontal="center" vertical="center" wrapText="1"/>
    </xf>
    <xf numFmtId="0" fontId="19" fillId="0" borderId="1" xfId="5" applyFont="1" applyBorder="1" applyAlignment="1">
      <alignment horizontal="center" vertical="center" wrapText="1"/>
    </xf>
    <xf numFmtId="0" fontId="17" fillId="0" borderId="1" xfId="5" applyFont="1" applyBorder="1" applyAlignment="1">
      <alignment horizontal="center" vertical="center" wrapText="1"/>
    </xf>
    <xf numFmtId="40" fontId="9" fillId="0" borderId="1" xfId="5" applyNumberFormat="1" applyFont="1" applyBorder="1" applyAlignment="1">
      <alignment horizontal="center" vertical="center" wrapText="1"/>
    </xf>
    <xf numFmtId="38" fontId="9" fillId="0" borderId="1" xfId="5" applyNumberFormat="1" applyFont="1" applyBorder="1" applyAlignment="1">
      <alignment horizontal="center" vertical="center" wrapText="1"/>
    </xf>
    <xf numFmtId="10" fontId="9" fillId="0" borderId="1" xfId="1" applyNumberFormat="1" applyFont="1" applyBorder="1" applyAlignment="1">
      <alignment horizontal="center" vertical="center" wrapText="1"/>
    </xf>
    <xf numFmtId="166" fontId="11" fillId="0" borderId="2" xfId="1" applyNumberFormat="1" applyFont="1" applyBorder="1" applyAlignment="1">
      <alignment horizontal="center" vertical="center" wrapText="1"/>
    </xf>
    <xf numFmtId="166" fontId="11" fillId="0" borderId="3" xfId="1" applyNumberFormat="1" applyFont="1" applyBorder="1" applyAlignment="1">
      <alignment horizontal="center" vertical="center" wrapText="1"/>
    </xf>
    <xf numFmtId="166" fontId="11" fillId="0" borderId="4" xfId="1" applyNumberFormat="1" applyFont="1" applyBorder="1" applyAlignment="1">
      <alignment horizontal="center" vertical="center" wrapText="1"/>
    </xf>
    <xf numFmtId="167" fontId="11" fillId="0" borderId="2" xfId="1" applyNumberFormat="1" applyFont="1" applyBorder="1" applyAlignment="1">
      <alignment horizontal="center" vertical="center" wrapText="1"/>
    </xf>
    <xf numFmtId="167" fontId="11" fillId="0" borderId="3" xfId="1" applyNumberFormat="1" applyFont="1" applyBorder="1" applyAlignment="1">
      <alignment horizontal="center" vertical="center" wrapText="1"/>
    </xf>
    <xf numFmtId="167" fontId="11" fillId="0" borderId="4" xfId="1" applyNumberFormat="1" applyFont="1" applyBorder="1" applyAlignment="1">
      <alignment horizontal="center" vertical="center" wrapText="1"/>
    </xf>
    <xf numFmtId="0" fontId="9" fillId="0" borderId="1" xfId="5" applyFont="1" applyBorder="1" applyAlignment="1">
      <alignment horizontal="left" vertical="center" wrapText="1"/>
    </xf>
    <xf numFmtId="168" fontId="11" fillId="0" borderId="2"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168" fontId="11" fillId="0" borderId="4" xfId="1" applyNumberFormat="1" applyFont="1" applyBorder="1" applyAlignment="1">
      <alignment horizontal="center" vertical="center" wrapText="1"/>
    </xf>
    <xf numFmtId="165" fontId="11" fillId="0" borderId="1" xfId="1" applyNumberFormat="1" applyFont="1" applyBorder="1" applyAlignment="1">
      <alignment horizontal="center" vertical="center" wrapText="1"/>
    </xf>
    <xf numFmtId="0" fontId="12" fillId="2" borderId="1" xfId="5" applyFont="1" applyFill="1" applyBorder="1" applyAlignment="1">
      <alignment horizontal="center" vertical="center" wrapText="1"/>
    </xf>
    <xf numFmtId="0" fontId="9" fillId="2" borderId="1" xfId="5" applyFont="1" applyFill="1" applyBorder="1" applyAlignment="1">
      <alignment horizontal="center" vertical="center" wrapText="1"/>
    </xf>
    <xf numFmtId="165" fontId="11" fillId="0" borderId="2" xfId="1" applyNumberFormat="1" applyFont="1" applyBorder="1" applyAlignment="1">
      <alignment horizontal="center" vertical="center" wrapText="1"/>
    </xf>
    <xf numFmtId="165" fontId="11" fillId="0" borderId="3" xfId="1" applyNumberFormat="1" applyFont="1" applyBorder="1" applyAlignment="1">
      <alignment horizontal="center" vertical="center" wrapText="1"/>
    </xf>
    <xf numFmtId="165" fontId="11" fillId="0" borderId="4" xfId="1" applyNumberFormat="1" applyFont="1" applyBorder="1" applyAlignment="1">
      <alignment horizontal="center" vertical="center" wrapText="1"/>
    </xf>
    <xf numFmtId="0" fontId="13" fillId="0" borderId="2" xfId="5" applyFont="1" applyBorder="1" applyAlignment="1">
      <alignment horizontal="center" vertical="center" wrapText="1"/>
    </xf>
    <xf numFmtId="0" fontId="13" fillId="0" borderId="3" xfId="5" applyFont="1" applyBorder="1" applyAlignment="1">
      <alignment horizontal="center" vertical="center" wrapText="1"/>
    </xf>
    <xf numFmtId="0" fontId="13" fillId="0" borderId="4" xfId="5" applyFont="1" applyBorder="1" applyAlignment="1">
      <alignment horizontal="center" vertical="center" wrapText="1"/>
    </xf>
    <xf numFmtId="0" fontId="9" fillId="0" borderId="5" xfId="5" applyFont="1" applyBorder="1" applyAlignment="1">
      <alignment vertical="center" wrapText="1"/>
    </xf>
    <xf numFmtId="0" fontId="9" fillId="0" borderId="6" xfId="5" applyFont="1" applyBorder="1" applyAlignment="1">
      <alignment vertical="center" wrapText="1"/>
    </xf>
    <xf numFmtId="0" fontId="9" fillId="0" borderId="7" xfId="5" applyFont="1" applyBorder="1" applyAlignment="1">
      <alignment vertical="center" wrapText="1"/>
    </xf>
    <xf numFmtId="0" fontId="9" fillId="0" borderId="8" xfId="5" applyFont="1" applyBorder="1" applyAlignment="1">
      <alignment vertical="center" wrapText="1"/>
    </xf>
    <xf numFmtId="0" fontId="9" fillId="0" borderId="9" xfId="5" applyFont="1" applyBorder="1" applyAlignment="1">
      <alignment vertical="center" wrapText="1"/>
    </xf>
    <xf numFmtId="0" fontId="9" fillId="0" borderId="10" xfId="5" applyFont="1" applyBorder="1" applyAlignment="1">
      <alignment vertical="center" wrapText="1"/>
    </xf>
    <xf numFmtId="0" fontId="15" fillId="0" borderId="1" xfId="5" applyFont="1" applyBorder="1" applyAlignment="1">
      <alignment horizontal="center" vertical="center" wrapText="1"/>
    </xf>
    <xf numFmtId="49" fontId="10" fillId="0" borderId="2" xfId="5" applyNumberFormat="1" applyFont="1" applyBorder="1" applyAlignment="1">
      <alignment horizontal="center" vertical="center" wrapText="1"/>
    </xf>
    <xf numFmtId="49" fontId="10" fillId="0" borderId="3" xfId="5" applyNumberFormat="1" applyFont="1" applyBorder="1" applyAlignment="1">
      <alignment horizontal="center" vertical="center" wrapText="1"/>
    </xf>
    <xf numFmtId="49" fontId="10" fillId="0" borderId="4" xfId="5" applyNumberFormat="1" applyFont="1" applyBorder="1" applyAlignment="1">
      <alignment horizontal="center" vertical="center" wrapText="1"/>
    </xf>
    <xf numFmtId="0" fontId="5" fillId="0" borderId="0" xfId="4" applyFont="1" applyAlignment="1">
      <alignment horizontal="center" vertical="center" wrapText="1"/>
    </xf>
    <xf numFmtId="0" fontId="6" fillId="0" borderId="1" xfId="4" applyFont="1" applyBorder="1" applyAlignment="1">
      <alignment horizontal="center" vertical="center"/>
    </xf>
    <xf numFmtId="0" fontId="10" fillId="0" borderId="1" xfId="5" applyFont="1" applyBorder="1" applyAlignment="1">
      <alignment horizontal="center" vertical="center" wrapText="1"/>
    </xf>
    <xf numFmtId="164" fontId="11" fillId="0" borderId="1" xfId="5" applyNumberFormat="1" applyFont="1" applyBorder="1" applyAlignment="1">
      <alignment horizontal="center" vertical="center" wrapText="1"/>
    </xf>
    <xf numFmtId="170" fontId="12" fillId="0" borderId="1" xfId="1" applyNumberFormat="1" applyFont="1" applyBorder="1" applyAlignment="1">
      <alignment horizontal="center" vertical="center" wrapText="1"/>
    </xf>
    <xf numFmtId="0" fontId="12" fillId="0" borderId="2" xfId="5" applyFont="1" applyBorder="1" applyAlignment="1">
      <alignment horizontal="center" vertical="top" wrapText="1"/>
    </xf>
    <xf numFmtId="0" fontId="12" fillId="0" borderId="3" xfId="5" applyFont="1" applyBorder="1" applyAlignment="1">
      <alignment horizontal="center" vertical="top" wrapText="1"/>
    </xf>
    <xf numFmtId="0" fontId="12" fillId="0" borderId="4" xfId="5" applyFont="1" applyBorder="1" applyAlignment="1">
      <alignment horizontal="center" vertical="top" wrapText="1"/>
    </xf>
    <xf numFmtId="0" fontId="11" fillId="3" borderId="1" xfId="5" applyFont="1" applyFill="1" applyBorder="1" applyAlignment="1">
      <alignment horizontal="center" vertical="center" wrapText="1"/>
    </xf>
  </cellXfs>
  <cellStyles count="7">
    <cellStyle name="Гиперссылка" xfId="3" builtinId="8"/>
    <cellStyle name="Обычный" xfId="0" builtinId="0"/>
    <cellStyle name="Обычный 2 2 2" xfId="4" xr:uid="{5C11DE0C-422D-4297-9928-A211555AF56D}"/>
    <cellStyle name="Обычный 3" xfId="6" xr:uid="{67A5E134-E44F-4DA5-ACB9-96D401F66CEA}"/>
    <cellStyle name="Обычный 4 2" xfId="5" xr:uid="{38F0A50C-A7F2-4511-9F5F-424CF4D90EEE}"/>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912894</xdr:colOff>
      <xdr:row>24</xdr:row>
      <xdr:rowOff>142587</xdr:rowOff>
    </xdr:from>
    <xdr:to>
      <xdr:col>3</xdr:col>
      <xdr:colOff>3721127</xdr:colOff>
      <xdr:row>24</xdr:row>
      <xdr:rowOff>2819439</xdr:rowOff>
    </xdr:to>
    <xdr:pic>
      <xdr:nvPicPr>
        <xdr:cNvPr id="2" name="Рисунок 1">
          <a:extLst>
            <a:ext uri="{FF2B5EF4-FFF2-40B4-BE49-F238E27FC236}">
              <a16:creationId xmlns:a16="http://schemas.microsoft.com/office/drawing/2014/main" id="{31D37B6E-98CA-4D31-B1D3-88315F1B522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0744" y="5476587"/>
          <a:ext cx="2808233" cy="2676852"/>
        </a:xfrm>
        <a:prstGeom prst="rect">
          <a:avLst/>
        </a:prstGeom>
        <a:noFill/>
        <a:ln>
          <a:noFill/>
        </a:ln>
      </xdr:spPr>
    </xdr:pic>
    <xdr:clientData/>
  </xdr:twoCellAnchor>
  <xdr:twoCellAnchor editAs="oneCell">
    <xdr:from>
      <xdr:col>5</xdr:col>
      <xdr:colOff>888939</xdr:colOff>
      <xdr:row>24</xdr:row>
      <xdr:rowOff>115731</xdr:rowOff>
    </xdr:from>
    <xdr:to>
      <xdr:col>8</xdr:col>
      <xdr:colOff>251168</xdr:colOff>
      <xdr:row>24</xdr:row>
      <xdr:rowOff>2907542</xdr:rowOff>
    </xdr:to>
    <xdr:pic>
      <xdr:nvPicPr>
        <xdr:cNvPr id="3" name="Рисунок 2">
          <a:extLst>
            <a:ext uri="{FF2B5EF4-FFF2-40B4-BE49-F238E27FC236}">
              <a16:creationId xmlns:a16="http://schemas.microsoft.com/office/drawing/2014/main" id="{5214A198-F753-416F-9FDD-A00EE5EDB9C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80389" y="5449731"/>
          <a:ext cx="2800754" cy="2791811"/>
        </a:xfrm>
        <a:prstGeom prst="rect">
          <a:avLst/>
        </a:prstGeom>
        <a:noFill/>
        <a:ln>
          <a:noFill/>
        </a:ln>
      </xdr:spPr>
    </xdr:pic>
    <xdr:clientData/>
  </xdr:twoCellAnchor>
  <xdr:twoCellAnchor editAs="oneCell">
    <xdr:from>
      <xdr:col>8</xdr:col>
      <xdr:colOff>342940</xdr:colOff>
      <xdr:row>24</xdr:row>
      <xdr:rowOff>114957</xdr:rowOff>
    </xdr:from>
    <xdr:to>
      <xdr:col>11</xdr:col>
      <xdr:colOff>64724</xdr:colOff>
      <xdr:row>24</xdr:row>
      <xdr:rowOff>2890345</xdr:rowOff>
    </xdr:to>
    <xdr:pic>
      <xdr:nvPicPr>
        <xdr:cNvPr id="4" name="Рисунок 3">
          <a:extLst>
            <a:ext uri="{FF2B5EF4-FFF2-40B4-BE49-F238E27FC236}">
              <a16:creationId xmlns:a16="http://schemas.microsoft.com/office/drawing/2014/main" id="{6D49827F-BF46-4DD9-A93E-63699AF17755}"/>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72915" y="5448957"/>
          <a:ext cx="2884084" cy="2775388"/>
        </a:xfrm>
        <a:prstGeom prst="rect">
          <a:avLst/>
        </a:prstGeom>
        <a:noFill/>
        <a:ln>
          <a:noFill/>
        </a:ln>
      </xdr:spPr>
    </xdr:pic>
    <xdr:clientData/>
  </xdr:twoCellAnchor>
  <xdr:twoCellAnchor editAs="oneCell">
    <xdr:from>
      <xdr:col>11</xdr:col>
      <xdr:colOff>157268</xdr:colOff>
      <xdr:row>24</xdr:row>
      <xdr:rowOff>114957</xdr:rowOff>
    </xdr:from>
    <xdr:to>
      <xdr:col>13</xdr:col>
      <xdr:colOff>932406</xdr:colOff>
      <xdr:row>24</xdr:row>
      <xdr:rowOff>2906768</xdr:rowOff>
    </xdr:to>
    <xdr:pic>
      <xdr:nvPicPr>
        <xdr:cNvPr id="5" name="Рисунок 4">
          <a:extLst>
            <a:ext uri="{FF2B5EF4-FFF2-40B4-BE49-F238E27FC236}">
              <a16:creationId xmlns:a16="http://schemas.microsoft.com/office/drawing/2014/main" id="{8B9F576A-F5FF-40E7-909D-364D89C18745}"/>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49543" y="5448957"/>
          <a:ext cx="2661088" cy="2791811"/>
        </a:xfrm>
        <a:prstGeom prst="rect">
          <a:avLst/>
        </a:prstGeom>
        <a:noFill/>
        <a:ln>
          <a:noFill/>
        </a:ln>
      </xdr:spPr>
    </xdr:pic>
    <xdr:clientData/>
  </xdr:twoCellAnchor>
  <xdr:twoCellAnchor editAs="oneCell">
    <xdr:from>
      <xdr:col>4</xdr:col>
      <xdr:colOff>100854</xdr:colOff>
      <xdr:row>99</xdr:row>
      <xdr:rowOff>2622176</xdr:rowOff>
    </xdr:from>
    <xdr:to>
      <xdr:col>7</xdr:col>
      <xdr:colOff>1187824</xdr:colOff>
      <xdr:row>99</xdr:row>
      <xdr:rowOff>5154705</xdr:rowOff>
    </xdr:to>
    <xdr:pic>
      <xdr:nvPicPr>
        <xdr:cNvPr id="6" name="Рисунок 5">
          <a:extLst>
            <a:ext uri="{FF2B5EF4-FFF2-40B4-BE49-F238E27FC236}">
              <a16:creationId xmlns:a16="http://schemas.microsoft.com/office/drawing/2014/main" id="{E907653D-73C9-426A-A326-8F9611C844B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82629" y="37293176"/>
          <a:ext cx="4477870" cy="2532529"/>
        </a:xfrm>
        <a:prstGeom prst="rect">
          <a:avLst/>
        </a:prstGeom>
        <a:noFill/>
        <a:ln>
          <a:noFill/>
        </a:ln>
      </xdr:spPr>
    </xdr:pic>
    <xdr:clientData/>
  </xdr:twoCellAnchor>
  <xdr:twoCellAnchor editAs="oneCell">
    <xdr:from>
      <xdr:col>8</xdr:col>
      <xdr:colOff>627529</xdr:colOff>
      <xdr:row>99</xdr:row>
      <xdr:rowOff>1804147</xdr:rowOff>
    </xdr:from>
    <xdr:to>
      <xdr:col>13</xdr:col>
      <xdr:colOff>527983</xdr:colOff>
      <xdr:row>99</xdr:row>
      <xdr:rowOff>5084819</xdr:rowOff>
    </xdr:to>
    <xdr:pic>
      <xdr:nvPicPr>
        <xdr:cNvPr id="7" name="Рисунок 6">
          <a:extLst>
            <a:ext uri="{FF2B5EF4-FFF2-40B4-BE49-F238E27FC236}">
              <a16:creationId xmlns:a16="http://schemas.microsoft.com/office/drawing/2014/main" id="{F355CFC2-36B8-43CD-8778-0A96027CB41D}"/>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857504" y="36475147"/>
          <a:ext cx="4948704" cy="3280672"/>
        </a:xfrm>
        <a:prstGeom prst="rect">
          <a:avLst/>
        </a:prstGeom>
        <a:noFill/>
        <a:ln>
          <a:noFill/>
        </a:ln>
      </xdr:spPr>
    </xdr:pic>
    <xdr:clientData/>
  </xdr:twoCellAnchor>
  <xdr:twoCellAnchor editAs="oneCell">
    <xdr:from>
      <xdr:col>3</xdr:col>
      <xdr:colOff>3753970</xdr:colOff>
      <xdr:row>24</xdr:row>
      <xdr:rowOff>112059</xdr:rowOff>
    </xdr:from>
    <xdr:to>
      <xdr:col>5</xdr:col>
      <xdr:colOff>806824</xdr:colOff>
      <xdr:row>24</xdr:row>
      <xdr:rowOff>2902323</xdr:rowOff>
    </xdr:to>
    <xdr:pic>
      <xdr:nvPicPr>
        <xdr:cNvPr id="8" name="Рисунок 7">
          <a:extLst>
            <a:ext uri="{FF2B5EF4-FFF2-40B4-BE49-F238E27FC236}">
              <a16:creationId xmlns:a16="http://schemas.microsoft.com/office/drawing/2014/main" id="{601D75D7-636F-46C0-95B7-1225523F954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01820" y="5446059"/>
          <a:ext cx="2996454" cy="279026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914494</xdr:colOff>
      <xdr:row>24</xdr:row>
      <xdr:rowOff>131381</xdr:rowOff>
    </xdr:from>
    <xdr:to>
      <xdr:col>3</xdr:col>
      <xdr:colOff>3722727</xdr:colOff>
      <xdr:row>24</xdr:row>
      <xdr:rowOff>2808233</xdr:rowOff>
    </xdr:to>
    <xdr:pic>
      <xdr:nvPicPr>
        <xdr:cNvPr id="2" name="Рисунок 1">
          <a:extLst>
            <a:ext uri="{FF2B5EF4-FFF2-40B4-BE49-F238E27FC236}">
              <a16:creationId xmlns:a16="http://schemas.microsoft.com/office/drawing/2014/main" id="{770AA5E3-38C7-443F-AE49-5004B82EEC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344" y="7484681"/>
          <a:ext cx="2808233" cy="2676852"/>
        </a:xfrm>
        <a:prstGeom prst="rect">
          <a:avLst/>
        </a:prstGeom>
        <a:noFill/>
        <a:ln>
          <a:noFill/>
        </a:ln>
      </xdr:spPr>
    </xdr:pic>
    <xdr:clientData/>
  </xdr:twoCellAnchor>
  <xdr:twoCellAnchor editAs="oneCell">
    <xdr:from>
      <xdr:col>5</xdr:col>
      <xdr:colOff>898543</xdr:colOff>
      <xdr:row>24</xdr:row>
      <xdr:rowOff>109329</xdr:rowOff>
    </xdr:from>
    <xdr:to>
      <xdr:col>8</xdr:col>
      <xdr:colOff>265576</xdr:colOff>
      <xdr:row>24</xdr:row>
      <xdr:rowOff>2901140</xdr:rowOff>
    </xdr:to>
    <xdr:pic>
      <xdr:nvPicPr>
        <xdr:cNvPr id="3" name="Рисунок 2">
          <a:extLst>
            <a:ext uri="{FF2B5EF4-FFF2-40B4-BE49-F238E27FC236}">
              <a16:creationId xmlns:a16="http://schemas.microsoft.com/office/drawing/2014/main" id="{43289EDA-E08E-4054-81B5-493435648C7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89993" y="7462629"/>
          <a:ext cx="2805558" cy="2791811"/>
        </a:xfrm>
        <a:prstGeom prst="rect">
          <a:avLst/>
        </a:prstGeom>
        <a:noFill/>
        <a:ln>
          <a:noFill/>
        </a:ln>
      </xdr:spPr>
    </xdr:pic>
    <xdr:clientData/>
  </xdr:twoCellAnchor>
  <xdr:twoCellAnchor editAs="oneCell">
    <xdr:from>
      <xdr:col>8</xdr:col>
      <xdr:colOff>331734</xdr:colOff>
      <xdr:row>24</xdr:row>
      <xdr:rowOff>101350</xdr:rowOff>
    </xdr:from>
    <xdr:to>
      <xdr:col>11</xdr:col>
      <xdr:colOff>45514</xdr:colOff>
      <xdr:row>24</xdr:row>
      <xdr:rowOff>2876738</xdr:rowOff>
    </xdr:to>
    <xdr:pic>
      <xdr:nvPicPr>
        <xdr:cNvPr id="4" name="Рисунок 3">
          <a:extLst>
            <a:ext uri="{FF2B5EF4-FFF2-40B4-BE49-F238E27FC236}">
              <a16:creationId xmlns:a16="http://schemas.microsoft.com/office/drawing/2014/main" id="{A2518513-1431-4B76-930D-1D5D9C9D318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61709" y="7454650"/>
          <a:ext cx="2876080" cy="2775388"/>
        </a:xfrm>
        <a:prstGeom prst="rect">
          <a:avLst/>
        </a:prstGeom>
        <a:noFill/>
        <a:ln>
          <a:noFill/>
        </a:ln>
      </xdr:spPr>
    </xdr:pic>
    <xdr:clientData/>
  </xdr:twoCellAnchor>
  <xdr:twoCellAnchor editAs="oneCell">
    <xdr:from>
      <xdr:col>11</xdr:col>
      <xdr:colOff>95251</xdr:colOff>
      <xdr:row>24</xdr:row>
      <xdr:rowOff>87743</xdr:rowOff>
    </xdr:from>
    <xdr:to>
      <xdr:col>13</xdr:col>
      <xdr:colOff>949216</xdr:colOff>
      <xdr:row>24</xdr:row>
      <xdr:rowOff>2879554</xdr:rowOff>
    </xdr:to>
    <xdr:pic>
      <xdr:nvPicPr>
        <xdr:cNvPr id="5" name="Рисунок 4">
          <a:extLst>
            <a:ext uri="{FF2B5EF4-FFF2-40B4-BE49-F238E27FC236}">
              <a16:creationId xmlns:a16="http://schemas.microsoft.com/office/drawing/2014/main" id="{49DCCAB5-A366-47DE-83B0-CC4B197D6DD4}"/>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87526" y="7441043"/>
          <a:ext cx="2739915" cy="2791811"/>
        </a:xfrm>
        <a:prstGeom prst="rect">
          <a:avLst/>
        </a:prstGeom>
        <a:noFill/>
        <a:ln>
          <a:noFill/>
        </a:ln>
      </xdr:spPr>
    </xdr:pic>
    <xdr:clientData/>
  </xdr:twoCellAnchor>
  <xdr:twoCellAnchor editAs="oneCell">
    <xdr:from>
      <xdr:col>4</xdr:col>
      <xdr:colOff>100854</xdr:colOff>
      <xdr:row>99</xdr:row>
      <xdr:rowOff>2622176</xdr:rowOff>
    </xdr:from>
    <xdr:to>
      <xdr:col>7</xdr:col>
      <xdr:colOff>1187824</xdr:colOff>
      <xdr:row>99</xdr:row>
      <xdr:rowOff>5154705</xdr:rowOff>
    </xdr:to>
    <xdr:pic>
      <xdr:nvPicPr>
        <xdr:cNvPr id="6" name="Рисунок 5">
          <a:extLst>
            <a:ext uri="{FF2B5EF4-FFF2-40B4-BE49-F238E27FC236}">
              <a16:creationId xmlns:a16="http://schemas.microsoft.com/office/drawing/2014/main" id="{88A641F9-413B-449E-A37F-4682EC6B0BA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82629" y="39969701"/>
          <a:ext cx="4477870" cy="2532529"/>
        </a:xfrm>
        <a:prstGeom prst="rect">
          <a:avLst/>
        </a:prstGeom>
        <a:noFill/>
        <a:ln>
          <a:noFill/>
        </a:ln>
      </xdr:spPr>
    </xdr:pic>
    <xdr:clientData/>
  </xdr:twoCellAnchor>
  <xdr:twoCellAnchor editAs="oneCell">
    <xdr:from>
      <xdr:col>8</xdr:col>
      <xdr:colOff>627529</xdr:colOff>
      <xdr:row>99</xdr:row>
      <xdr:rowOff>1804147</xdr:rowOff>
    </xdr:from>
    <xdr:to>
      <xdr:col>13</xdr:col>
      <xdr:colOff>527983</xdr:colOff>
      <xdr:row>99</xdr:row>
      <xdr:rowOff>5084819</xdr:rowOff>
    </xdr:to>
    <xdr:pic>
      <xdr:nvPicPr>
        <xdr:cNvPr id="7" name="Рисунок 6">
          <a:extLst>
            <a:ext uri="{FF2B5EF4-FFF2-40B4-BE49-F238E27FC236}">
              <a16:creationId xmlns:a16="http://schemas.microsoft.com/office/drawing/2014/main" id="{CD105B7A-6DC0-4BD9-A3AD-80A93277F59E}"/>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857504" y="39151672"/>
          <a:ext cx="4948704" cy="3280672"/>
        </a:xfrm>
        <a:prstGeom prst="rect">
          <a:avLst/>
        </a:prstGeom>
        <a:noFill/>
        <a:ln>
          <a:noFill/>
        </a:ln>
      </xdr:spPr>
    </xdr:pic>
    <xdr:clientData/>
  </xdr:twoCellAnchor>
  <xdr:twoCellAnchor editAs="oneCell">
    <xdr:from>
      <xdr:col>3</xdr:col>
      <xdr:colOff>3782787</xdr:colOff>
      <xdr:row>24</xdr:row>
      <xdr:rowOff>108857</xdr:rowOff>
    </xdr:from>
    <xdr:to>
      <xdr:col>5</xdr:col>
      <xdr:colOff>828436</xdr:colOff>
      <xdr:row>24</xdr:row>
      <xdr:rowOff>2899121</xdr:rowOff>
    </xdr:to>
    <xdr:pic>
      <xdr:nvPicPr>
        <xdr:cNvPr id="8" name="Рисунок 7">
          <a:extLst>
            <a:ext uri="{FF2B5EF4-FFF2-40B4-BE49-F238E27FC236}">
              <a16:creationId xmlns:a16="http://schemas.microsoft.com/office/drawing/2014/main" id="{67D3F6F8-B50F-4DD9-9A20-DB6BF395BBB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30637" y="7462157"/>
          <a:ext cx="2989249" cy="279026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68F65BB6\BULL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ORK/CRP/&#1052;&#1077;&#1090;&#1086;&#1076;&#1080;&#1082;&#1072;/&#1056;&#1072;&#1089;&#1095;&#1077;&#1090;&#1085;&#1099;&#1077;%20&#1084;&#1086;&#1076;&#1077;&#1083;&#1080;/&#1052;&#1086;&#1076;&#1077;&#1083;&#1100;%2020-2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3;&#1086;&#1103;&#1073;&#1088;&#1100;/&#1055;&#1045;&#1056;&#1045;&#1042;&#1054;&#1044;/&#1043;&#1086;&#1090;&#1086;&#1074;&#1099;&#1077;/2-&#1055;&#1077;&#1088;&#1077;&#1088;&#1072;&#1073;&#1086;&#1090;&#1082;&#1072;%20&#1088;&#1077;&#1079;&#1080;&#1085;&#1086;&#1090;&#1077;&#1093;&#1085;&#1080;&#1095;&#1077;&#1089;&#1082;&#1080;&#1093;%20&#1086;&#1090;&#1093;&#1086;&#1076;&#1086;&#1074;/&#1041;&#1055;_&#1055;&#1077;&#1088;&#1077;&#1088;&#1072;&#1073;&#1086;&#1090;&#1082;&#1072;_&#1088;&#1077;&#1079;&#1080;&#1085;&#1086;&#1090;&#1077;&#1093;&#1085;&#1080;&#1095;&#1077;&#1089;&#1082;&#1080;&#1093;_&#1086;&#1090;&#1093;&#1086;&#1076;&#1086;&#1074;eng.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4;&#1082;&#1090;&#1103;&#1073;&#1088;&#1100;%202020/&#1044;&#1077;&#1090;&#1089;&#1082;&#1086;&#1077;%20&#1087;&#1080;&#1090;&#1072;&#1085;&#1080;&#1077;%20&#1059;&#1083;&#1091;&#1075;&#1073;&#1077;&#1082;/&#1044;&#1077;&#1090;&#1089;&#1082;&#1086;&#1077;%20&#1087;&#1080;&#1090;&#1072;&#1085;&#1080;&#1077;%20&#1061;&#1086;&#1088;&#1077;&#1079;&#108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sheetData sheetId="13">
        <row r="4">
          <cell r="O4">
            <v>67.099999999999994</v>
          </cell>
        </row>
      </sheetData>
      <sheetData sheetId="14" refreshError="1"/>
      <sheetData sheetId="15"/>
      <sheetData sheetId="16">
        <row r="4">
          <cell r="O4">
            <v>67.099999999999994</v>
          </cell>
        </row>
      </sheetData>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sheetData sheetId="80"/>
      <sheetData sheetId="81"/>
      <sheetData sheetId="82"/>
      <sheetData sheetId="83"/>
      <sheetData sheetId="84"/>
      <sheetData sheetId="85"/>
      <sheetData sheetId="86"/>
      <sheetData sheetId="8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sheetData sheetId="64"/>
      <sheetData sheetId="65"/>
      <sheetData sheetId="66"/>
      <sheetData sheetId="67">
        <row r="4">
          <cell r="O4">
            <v>67.099999999999994</v>
          </cell>
        </row>
      </sheetData>
      <sheetData sheetId="68"/>
      <sheetData sheetId="6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ow r="4">
          <cell r="O4">
            <v>67.099999999999994</v>
          </cell>
        </row>
      </sheetData>
      <sheetData sheetId="50">
        <row r="4">
          <cell r="O4">
            <v>67.099999999999994</v>
          </cell>
        </row>
      </sheetData>
      <sheetData sheetId="51">
        <row r="4">
          <cell r="O4">
            <v>67.099999999999994</v>
          </cell>
        </row>
      </sheetData>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sheetData sheetId="259"/>
      <sheetData sheetId="260"/>
      <sheetData sheetId="261"/>
      <sheetData sheetId="262"/>
      <sheetData sheetId="263"/>
      <sheetData sheetId="264"/>
      <sheetData sheetId="265"/>
      <sheetData sheetId="266"/>
      <sheetData sheetId="267"/>
      <sheetData sheetId="268"/>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sheetData sheetId="283"/>
      <sheetData sheetId="284"/>
      <sheetData sheetId="285"/>
      <sheetData sheetId="286"/>
      <sheetData sheetId="287"/>
      <sheetData sheetId="288"/>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sheetData sheetId="331"/>
      <sheetData sheetId="332"/>
      <sheetData sheetId="333"/>
      <sheetData sheetId="334"/>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sheetData sheetId="351"/>
      <sheetData sheetId="352"/>
      <sheetData sheetId="353"/>
      <sheetData sheetId="354"/>
      <sheetData sheetId="355"/>
      <sheetData sheetId="356"/>
      <sheetData sheetId="357"/>
      <sheetData sheetId="358"/>
      <sheetData sheetId="359"/>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sheetData sheetId="420">
        <row r="4">
          <cell r="O4">
            <v>67.099999999999994</v>
          </cell>
        </row>
      </sheetData>
      <sheetData sheetId="421"/>
      <sheetData sheetId="422"/>
      <sheetData sheetId="423"/>
      <sheetData sheetId="424"/>
      <sheetData sheetId="425"/>
      <sheetData sheetId="426"/>
      <sheetData sheetId="427"/>
      <sheetData sheetId="428"/>
      <sheetData sheetId="429"/>
      <sheetData sheetId="430">
        <row r="4">
          <cell r="O4">
            <v>67.099999999999994</v>
          </cell>
        </row>
      </sheetData>
      <sheetData sheetId="431"/>
      <sheetData sheetId="432"/>
      <sheetData sheetId="433"/>
      <sheetData sheetId="434"/>
      <sheetData sheetId="435"/>
      <sheetData sheetId="436"/>
      <sheetData sheetId="437"/>
      <sheetData sheetId="438">
        <row r="4">
          <cell r="O4">
            <v>67.099999999999994</v>
          </cell>
        </row>
      </sheetData>
      <sheetData sheetId="439"/>
      <sheetData sheetId="440"/>
      <sheetData sheetId="441"/>
      <sheetData sheetId="442"/>
      <sheetData sheetId="443">
        <row r="4">
          <cell r="O4">
            <v>67.099999999999994</v>
          </cell>
        </row>
      </sheetData>
      <sheetData sheetId="444">
        <row r="4">
          <cell r="O4">
            <v>67.099999999999994</v>
          </cell>
        </row>
      </sheetData>
      <sheetData sheetId="445"/>
      <sheetData sheetId="446">
        <row r="4">
          <cell r="O4">
            <v>67.099999999999994</v>
          </cell>
        </row>
      </sheetData>
      <sheetData sheetId="447"/>
      <sheetData sheetId="448"/>
      <sheetData sheetId="449"/>
      <sheetData sheetId="450"/>
      <sheetData sheetId="451"/>
      <sheetData sheetId="452"/>
      <sheetData sheetId="453"/>
      <sheetData sheetId="454"/>
      <sheetData sheetId="455"/>
      <sheetData sheetId="456">
        <row r="4">
          <cell r="O4">
            <v>67.099999999999994</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row r="4">
          <cell r="O4">
            <v>67.099999999999994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П-Анг"/>
      <sheetName val="Project Cost (2)"/>
      <sheetName val="NPV-IRR-PI-PP (2)"/>
      <sheetName val="Банк данных маркетинга 2"/>
      <sheetName val="Чуств."/>
      <sheetName val="ПаспортR"/>
      <sheetName val="ПаспортE"/>
      <sheetName val="Диаг1"/>
      <sheetName val="Диаг.6"/>
      <sheetName val="Диагр"/>
      <sheetName val="Диаг-"/>
      <sheetName val="Диаг 3"/>
      <sheetName val="Input1"/>
      <sheetName val="Depreciat"/>
      <sheetName val="Loans1"/>
      <sheetName val="Input3"/>
      <sheetName val="Input4"/>
      <sheetName val="Диаг -1"/>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3">
          <cell r="D3" t="str">
            <v>Производство ортопедических матрасов</v>
          </cell>
        </row>
        <row r="5">
          <cell r="E5" t="str">
            <v>Создание собственного производства ортопедических матрасов в широком ассортименте в целях импортозамещения и экспорта продукции</v>
          </cell>
        </row>
        <row r="6">
          <cell r="E6" t="str">
            <v>Легкая промышленность</v>
          </cell>
        </row>
        <row r="10">
          <cell r="E10" t="str">
            <v>СЭЗ "Термез", Сурхандарьинская область</v>
          </cell>
        </row>
        <row r="37">
          <cell r="E37">
            <v>21600</v>
          </cell>
          <cell r="I37">
            <v>21600</v>
          </cell>
          <cell r="L37">
            <v>21600</v>
          </cell>
        </row>
        <row r="215">
          <cell r="E215">
            <v>3263889</v>
          </cell>
        </row>
        <row r="216">
          <cell r="D216" t="str">
            <v>Вклад местного инвестора (инициатора), $</v>
          </cell>
          <cell r="E216">
            <v>1080875</v>
          </cell>
        </row>
        <row r="217">
          <cell r="D217" t="str">
            <v>Вклад иностранного инвестора, $</v>
          </cell>
          <cell r="E217">
            <v>2183014</v>
          </cell>
        </row>
        <row r="218">
          <cell r="E218">
            <v>0</v>
          </cell>
        </row>
        <row r="224">
          <cell r="E224">
            <v>70.68500707069515</v>
          </cell>
        </row>
        <row r="225">
          <cell r="E225">
            <v>0.10839873986813564</v>
          </cell>
        </row>
        <row r="226">
          <cell r="E226">
            <v>958739.36945756758</v>
          </cell>
        </row>
        <row r="227">
          <cell r="E227">
            <v>1.2552798753725618</v>
          </cell>
        </row>
        <row r="232">
          <cell r="E232" t="str">
            <v xml:space="preserve">Продукция имеет достаточный спрос, 
Привлечение новой передовой технологии, 
Подержка государства по льготам СЭЗ и др.  </v>
          </cell>
        </row>
        <row r="233">
          <cell r="E233" t="str">
            <v>Требуется квалифицированный персонал, 
Отсутствие дизайнеров и технических инженеров и др.</v>
          </cell>
        </row>
        <row r="234">
          <cell r="E234" t="str">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ell>
        </row>
        <row r="235">
          <cell r="E235" t="str">
            <v>Частичная импортная зависимость, 
Наличие конкурентов импортеров продукции высокого качества</v>
          </cell>
        </row>
      </sheetData>
      <sheetData sheetId="1"/>
      <sheetData sheetId="2"/>
      <sheetData sheetId="3">
        <row r="3">
          <cell r="D3" t="str">
            <v>Production of orthopedic mattresses</v>
          </cell>
        </row>
        <row r="5">
          <cell r="E5" t="str">
            <v>Production of orthopedic mattresses</v>
          </cell>
        </row>
        <row r="9">
          <cell r="E9" t="str">
            <v>FEZ "Termez", Surkhan-Darya region</v>
          </cell>
        </row>
        <row r="28">
          <cell r="E28" t="str">
            <v>Consumer goods for the population, furniture industry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данных"/>
      <sheetName val="Лист1"/>
      <sheetName val="Форма-отчета 21"/>
      <sheetName val="БП-Eng"/>
      <sheetName val="ПаспортРУС"/>
      <sheetName val="ПаспортEng"/>
      <sheetName val="Project Cost (2)"/>
      <sheetName val="NPV-IRR-PI-DPP (2)"/>
      <sheetName val="SalePlan"/>
      <sheetName val="ПаспортRUS"/>
      <sheetName val="Паспорт"/>
      <sheetName val="Импорт"/>
      <sheetName val="Экспорт"/>
      <sheetName val="промпродукция"/>
      <sheetName val="ДЕХ"/>
      <sheetName val="ЧОР"/>
      <sheetName val="___"/>
      <sheetName val="Input1"/>
      <sheetName val="Depreciat"/>
      <sheetName val="Loans1"/>
      <sheetName val="Input3"/>
      <sheetName val="Input4"/>
      <sheetName val="Taxes"/>
      <sheetName val="---------"/>
      <sheetName val="ТЭП"/>
      <sheetName val="Project Cost"/>
      <sheetName val="FinPlan"/>
      <sheetName val="ProdPlan"/>
      <sheetName val="Чуств."/>
      <sheetName val="Полезные сайты"/>
      <sheetName val="Loans"/>
      <sheetName val="CostTotal"/>
      <sheetName val="CostSold"/>
      <sheetName val="Себестоимость"/>
      <sheetName val="ProfLoss"/>
      <sheetName val="WorkCap"/>
      <sheetName val="CashFlow"/>
      <sheetName val="Present"/>
      <sheetName val="NPV-IRR-PI-PP"/>
      <sheetName val="Balance"/>
      <sheetName val="BreakPoint"/>
    </sheetNames>
    <sheetDataSet>
      <sheetData sheetId="0"/>
      <sheetData sheetId="1">
        <row r="11">
          <cell r="M11">
            <v>140900</v>
          </cell>
          <cell r="O11">
            <v>13.419047619047619</v>
          </cell>
        </row>
        <row r="61">
          <cell r="P61">
            <v>5750</v>
          </cell>
        </row>
        <row r="129">
          <cell r="P129">
            <v>220</v>
          </cell>
        </row>
        <row r="145">
          <cell r="Q145">
            <v>425</v>
          </cell>
        </row>
        <row r="153">
          <cell r="S153">
            <v>93500</v>
          </cell>
        </row>
        <row r="168">
          <cell r="O168">
            <v>2016000</v>
          </cell>
        </row>
        <row r="202">
          <cell r="O202">
            <v>191000</v>
          </cell>
        </row>
        <row r="232">
          <cell r="N232" t="str">
            <v>Россия</v>
          </cell>
        </row>
        <row r="235">
          <cell r="N235">
            <v>265000</v>
          </cell>
        </row>
        <row r="255">
          <cell r="N255" t="str">
            <v>Казахстан</v>
          </cell>
        </row>
        <row r="257">
          <cell r="N257">
            <v>55800</v>
          </cell>
        </row>
        <row r="280">
          <cell r="N280">
            <v>14</v>
          </cell>
        </row>
        <row r="307">
          <cell r="N307">
            <v>30</v>
          </cell>
        </row>
        <row r="383">
          <cell r="S383">
            <v>12.525</v>
          </cell>
        </row>
        <row r="384">
          <cell r="S384">
            <v>7.4</v>
          </cell>
        </row>
        <row r="385">
          <cell r="S385">
            <v>3.6</v>
          </cell>
        </row>
        <row r="386">
          <cell r="S386">
            <v>1.9</v>
          </cell>
        </row>
        <row r="388">
          <cell r="S388">
            <v>17</v>
          </cell>
        </row>
        <row r="470">
          <cell r="Q470">
            <v>1843.2</v>
          </cell>
        </row>
        <row r="476">
          <cell r="P476">
            <v>1843200</v>
          </cell>
        </row>
        <row r="481">
          <cell r="O481">
            <v>552960</v>
          </cell>
        </row>
        <row r="499">
          <cell r="O499">
            <v>1850000</v>
          </cell>
        </row>
        <row r="501">
          <cell r="O501">
            <v>130666.66666666667</v>
          </cell>
        </row>
        <row r="528">
          <cell r="Q528">
            <v>38400</v>
          </cell>
        </row>
        <row r="547">
          <cell r="P547">
            <v>32256</v>
          </cell>
        </row>
        <row r="557">
          <cell r="O557">
            <v>1150000</v>
          </cell>
        </row>
        <row r="559">
          <cell r="O559">
            <v>30400</v>
          </cell>
        </row>
        <row r="600">
          <cell r="P600">
            <v>3.8611111111111107</v>
          </cell>
        </row>
        <row r="653">
          <cell r="I653">
            <v>13800</v>
          </cell>
        </row>
        <row r="679">
          <cell r="V679">
            <v>104598</v>
          </cell>
        </row>
        <row r="680">
          <cell r="V680">
            <v>35000</v>
          </cell>
        </row>
        <row r="681">
          <cell r="V681">
            <v>69000</v>
          </cell>
        </row>
        <row r="682">
          <cell r="V682">
            <v>44000</v>
          </cell>
        </row>
        <row r="683">
          <cell r="V683">
            <v>63000</v>
          </cell>
        </row>
        <row r="735">
          <cell r="O735">
            <v>53.333333333333336</v>
          </cell>
        </row>
        <row r="823">
          <cell r="P823">
            <v>25.5</v>
          </cell>
        </row>
        <row r="824">
          <cell r="P824">
            <v>2.4500000000000002</v>
          </cell>
        </row>
        <row r="825">
          <cell r="P825">
            <v>0.35</v>
          </cell>
        </row>
      </sheetData>
      <sheetData sheetId="2"/>
      <sheetData sheetId="3"/>
      <sheetData sheetId="4"/>
      <sheetData sheetId="5"/>
      <sheetData sheetId="6">
        <row r="6">
          <cell r="C6" t="str">
            <v>Показатели</v>
          </cell>
          <cell r="D6" t="str">
            <v>Затраты в национальной валюте</v>
          </cell>
          <cell r="E6" t="str">
            <v>Затраты в СКВ</v>
          </cell>
          <cell r="F6" t="str">
            <v xml:space="preserve">Всего </v>
          </cell>
          <cell r="G6" t="str">
            <v xml:space="preserve">Структура </v>
          </cell>
          <cell r="J6" t="str">
            <v xml:space="preserve">Займ / кредит </v>
          </cell>
        </row>
        <row r="7">
          <cell r="L7" t="str">
            <v>Местный инвестор</v>
          </cell>
          <cell r="M7" t="str">
            <v>Иностранный инвестор</v>
          </cell>
        </row>
        <row r="8">
          <cell r="C8" t="str">
            <v>Проектирование</v>
          </cell>
          <cell r="D8">
            <v>5250</v>
          </cell>
          <cell r="F8">
            <v>5250</v>
          </cell>
          <cell r="G8">
            <v>1.5888804596959034E-2</v>
          </cell>
          <cell r="L8">
            <v>5250</v>
          </cell>
          <cell r="M8">
            <v>0</v>
          </cell>
        </row>
        <row r="9">
          <cell r="C9" t="str">
            <v>Здания, сооружения, земля</v>
          </cell>
          <cell r="D9">
            <v>105000</v>
          </cell>
          <cell r="F9">
            <v>105000</v>
          </cell>
          <cell r="G9">
            <v>0.31777609193918066</v>
          </cell>
          <cell r="L9">
            <v>105000</v>
          </cell>
          <cell r="M9">
            <v>0</v>
          </cell>
        </row>
        <row r="10">
          <cell r="C10" t="str">
            <v>Основное оборудование</v>
          </cell>
          <cell r="E10">
            <v>191466.66666666669</v>
          </cell>
          <cell r="F10">
            <v>191466.66666666669</v>
          </cell>
          <cell r="G10">
            <v>0.57946218161862029</v>
          </cell>
          <cell r="M10">
            <v>191466.66666666669</v>
          </cell>
        </row>
        <row r="11">
          <cell r="C11" t="str">
            <v xml:space="preserve">Вспомогательное оборудование </v>
          </cell>
          <cell r="D11">
            <v>9573.3333333333339</v>
          </cell>
          <cell r="F11">
            <v>9573.3333333333339</v>
          </cell>
          <cell r="G11">
            <v>2.8973109080931012E-2</v>
          </cell>
          <cell r="L11">
            <v>9573.3333333333339</v>
          </cell>
          <cell r="M11">
            <v>0</v>
          </cell>
        </row>
        <row r="12">
          <cell r="C12" t="str">
            <v>Транспортные расходы, шеф-монтаж, обучение</v>
          </cell>
          <cell r="E12">
            <v>13402.66666666667</v>
          </cell>
          <cell r="F12">
            <v>13402.66666666667</v>
          </cell>
          <cell r="G12">
            <v>4.0562352713303426E-2</v>
          </cell>
          <cell r="L12">
            <v>0</v>
          </cell>
          <cell r="M12">
            <v>13402.66666666667</v>
          </cell>
        </row>
        <row r="13">
          <cell r="C13" t="str">
            <v xml:space="preserve">Прочие фиксированные активы </v>
          </cell>
          <cell r="D13">
            <v>5728.666666666667</v>
          </cell>
          <cell r="F13">
            <v>5728.666666666667</v>
          </cell>
          <cell r="G13">
            <v>1.7337460051005584E-2</v>
          </cell>
          <cell r="L13">
            <v>5728.666666666667</v>
          </cell>
          <cell r="M13">
            <v>0</v>
          </cell>
        </row>
        <row r="14">
          <cell r="C14" t="str">
            <v>Всего Фиксированные Активы</v>
          </cell>
          <cell r="D14">
            <v>125552</v>
          </cell>
          <cell r="E14">
            <v>204869.33333333334</v>
          </cell>
          <cell r="F14">
            <v>330421.33333333337</v>
          </cell>
          <cell r="G14">
            <v>1</v>
          </cell>
          <cell r="J14">
            <v>0</v>
          </cell>
          <cell r="K14">
            <v>0</v>
          </cell>
          <cell r="L14">
            <v>125552</v>
          </cell>
          <cell r="M14">
            <v>204869.33333333334</v>
          </cell>
        </row>
        <row r="15">
          <cell r="C15" t="str">
            <v>структура</v>
          </cell>
          <cell r="D15">
            <v>0.37997546566807627</v>
          </cell>
          <cell r="E15">
            <v>0.62002453433192362</v>
          </cell>
          <cell r="F15">
            <v>1</v>
          </cell>
          <cell r="J15">
            <v>0</v>
          </cell>
          <cell r="K15">
            <v>0</v>
          </cell>
          <cell r="L15">
            <v>0.37997546566807627</v>
          </cell>
          <cell r="M15">
            <v>0.62002453433192362</v>
          </cell>
        </row>
        <row r="16">
          <cell r="C16" t="str">
            <v xml:space="preserve">Запасы сырья и материалов </v>
          </cell>
          <cell r="D16">
            <v>120770.92571428569</v>
          </cell>
          <cell r="F16">
            <v>120770.92571428569</v>
          </cell>
          <cell r="G16">
            <v>0.26380678204064345</v>
          </cell>
          <cell r="L16">
            <v>120770.92571428569</v>
          </cell>
          <cell r="M16">
            <v>0</v>
          </cell>
        </row>
        <row r="17">
          <cell r="C17" t="str">
            <v>Финансовые издержки</v>
          </cell>
          <cell r="D17">
            <v>2511.04</v>
          </cell>
          <cell r="E17">
            <v>4097.3866666666672</v>
          </cell>
          <cell r="F17">
            <v>6608.4266666666672</v>
          </cell>
          <cell r="G17">
            <v>1.443516113645797E-2</v>
          </cell>
          <cell r="L17">
            <v>2511.04</v>
          </cell>
          <cell r="M17">
            <v>4097.3866666666672</v>
          </cell>
        </row>
        <row r="18">
          <cell r="C18" t="str">
            <v>ВСЕГО ПЕРВОНАЧАЛЬНАЯ СТОИМОСТЬ ПРОЕКТА</v>
          </cell>
          <cell r="D18">
            <v>248833.9657142857</v>
          </cell>
          <cell r="E18">
            <v>208966.72</v>
          </cell>
          <cell r="F18">
            <v>457800.68571428576</v>
          </cell>
          <cell r="G18">
            <v>1</v>
          </cell>
          <cell r="J18">
            <v>0</v>
          </cell>
          <cell r="K18">
            <v>0</v>
          </cell>
          <cell r="L18">
            <v>248833.9657142857</v>
          </cell>
          <cell r="M18">
            <v>208966.72</v>
          </cell>
        </row>
        <row r="19">
          <cell r="C19" t="str">
            <v>Структура</v>
          </cell>
          <cell r="D19">
            <v>0.54354214285642954</v>
          </cell>
          <cell r="E19">
            <v>0.45645785714357034</v>
          </cell>
          <cell r="F19">
            <v>1</v>
          </cell>
          <cell r="J19">
            <v>0</v>
          </cell>
          <cell r="K19">
            <v>0</v>
          </cell>
          <cell r="L19">
            <v>0.54354214285642954</v>
          </cell>
          <cell r="M19">
            <v>0.45645785714357034</v>
          </cell>
        </row>
      </sheetData>
      <sheetData sheetId="7">
        <row r="11">
          <cell r="E11">
            <v>0</v>
          </cell>
          <cell r="H11">
            <v>-457800.6857142857</v>
          </cell>
          <cell r="P11">
            <v>3.117848043570894</v>
          </cell>
        </row>
        <row r="12">
          <cell r="E12">
            <v>699555.83999999997</v>
          </cell>
          <cell r="H12">
            <v>150895.92396190474</v>
          </cell>
        </row>
        <row r="13">
          <cell r="E13">
            <v>749524.11428571434</v>
          </cell>
          <cell r="H13">
            <v>166861.43024761908</v>
          </cell>
        </row>
        <row r="14">
          <cell r="E14">
            <v>799492.3885714286</v>
          </cell>
          <cell r="H14">
            <v>182826.9365333333</v>
          </cell>
        </row>
        <row r="15">
          <cell r="E15">
            <v>849460.66285714298</v>
          </cell>
          <cell r="H15">
            <v>198792.44281904763</v>
          </cell>
        </row>
        <row r="16">
          <cell r="E16">
            <v>899428.93714285723</v>
          </cell>
          <cell r="H16">
            <v>214757.94910476197</v>
          </cell>
        </row>
        <row r="17">
          <cell r="E17">
            <v>899928.61988571426</v>
          </cell>
          <cell r="H17">
            <v>211400.18550095239</v>
          </cell>
        </row>
        <row r="18">
          <cell r="E18">
            <v>900428.3026285714</v>
          </cell>
          <cell r="H18">
            <v>211559.84056380959</v>
          </cell>
        </row>
        <row r="19">
          <cell r="E19">
            <v>900927.98537142843</v>
          </cell>
          <cell r="H19">
            <v>179553.09562666668</v>
          </cell>
        </row>
        <row r="20">
          <cell r="E20">
            <v>901427.66811428557</v>
          </cell>
          <cell r="H20">
            <v>179712.75068952376</v>
          </cell>
          <cell r="M20">
            <v>899849.04483956262</v>
          </cell>
          <cell r="N20">
            <v>0.36432285730637504</v>
          </cell>
          <cell r="O20">
            <v>2.9271297612447271</v>
          </cell>
        </row>
        <row r="96">
          <cell r="D96">
            <v>9.6999999999999993</v>
          </cell>
        </row>
        <row r="106">
          <cell r="D106">
            <v>2</v>
          </cell>
        </row>
      </sheetData>
      <sheetData sheetId="8"/>
      <sheetData sheetId="9"/>
      <sheetData sheetId="10"/>
      <sheetData sheetId="11"/>
      <sheetData sheetId="12"/>
      <sheetData sheetId="13"/>
      <sheetData sheetId="14"/>
      <sheetData sheetId="15"/>
      <sheetData sheetId="16"/>
      <sheetData sheetId="17">
        <row r="2">
          <cell r="I2">
            <v>10500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___"/>
      <sheetName val="Диаг1"/>
      <sheetName val="Диаг.6"/>
      <sheetName val="Диагр"/>
      <sheetName val="Диаг-"/>
      <sheetName val="Диаг 3"/>
      <sheetName val="Форма №5"/>
      <sheetName val="ТЭП"/>
      <sheetName val="Форма-отчета 15"/>
      <sheetName val="БП ENG"/>
      <sheetName val="ПаспортРУС"/>
      <sheetName val="ПаспортEng"/>
      <sheetName val="Input1"/>
      <sheetName val="Loans1"/>
      <sheetName val="Input3"/>
      <sheetName val="Input4"/>
      <sheetName val="Диаг -1"/>
      <sheetName val="Project Cost"/>
      <sheetName val="Depreciat"/>
      <sheetName val="Taxes"/>
      <sheetName val="FinPlan"/>
      <sheetName val="ProdPlan"/>
      <sheetName val="CostSold"/>
      <sheetName val="SalePlan"/>
      <sheetName val="Loans"/>
      <sheetName val="CostTotal"/>
      <sheetName val="Себестоимость"/>
      <sheetName val="ProfLoss"/>
      <sheetName val="WorkCap"/>
      <sheetName val="CashFlow"/>
      <sheetName val="Present"/>
      <sheetName val="Balance"/>
      <sheetName val="NPV-IRR-PI-PP"/>
      <sheetName val="Диагр-----"/>
      <sheetName val="Диагр----- (2)"/>
      <sheetName val="Диагр----- (3)"/>
      <sheetName val="Чувств"/>
      <sheetName val="BreakPoint"/>
      <sheetName val="ProfLoss (2)"/>
      <sheetName val="WorkCap (2)"/>
      <sheetName val="Ф1"/>
      <sheetName val="Ф2"/>
      <sheetName val="Класс"/>
      <sheetName val="Сост Фотон"/>
      <sheetName val="1"/>
      <sheetName val="2"/>
      <sheetName val="3"/>
      <sheetName val="Лист1"/>
      <sheetName val="Финанализ1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0">
          <cell r="D40" t="str">
            <v>Объем импорта продукции проекта (США), тонн</v>
          </cell>
        </row>
        <row r="41">
          <cell r="D41" t="str">
            <v>Объем импорта продукции проекта (Канада), тонн</v>
          </cell>
        </row>
        <row r="42">
          <cell r="D42" t="str">
            <v>Объем импорта продукции проекта (Великая Британия), тонн</v>
          </cell>
        </row>
        <row r="43">
          <cell r="D43" t="str">
            <v>Объем импорта продукции проекта (Франция), тонн</v>
          </cell>
        </row>
        <row r="44">
          <cell r="D44" t="str">
            <v>Объем импорта продукции проекта (Германия), тонн</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ow r="1">
          <cell r="B1">
            <v>0</v>
          </cell>
        </row>
      </sheetData>
      <sheetData sheetId="71">
        <row r="1">
          <cell r="B1">
            <v>0</v>
          </cell>
        </row>
      </sheetData>
      <sheetData sheetId="72">
        <row r="1">
          <cell r="B1">
            <v>0</v>
          </cell>
        </row>
      </sheetData>
      <sheetData sheetId="73"/>
      <sheetData sheetId="74"/>
      <sheetData sheetId="75"/>
      <sheetData sheetId="76"/>
      <sheetData sheetId="77" refreshError="1"/>
      <sheetData sheetId="7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lfaspk.ru/" TargetMode="External"/><Relationship Id="rId1" Type="http://schemas.openxmlformats.org/officeDocument/2006/relationships/hyperlink" Target="https://alfaspk.ru/"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lfaspk.ru/" TargetMode="External"/><Relationship Id="rId1" Type="http://schemas.openxmlformats.org/officeDocument/2006/relationships/hyperlink" Target="https://alfaspk.ru/"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5A6D-9375-4C0B-899B-A16FA8933EC2}">
  <sheetPr>
    <pageSetUpPr fitToPage="1"/>
  </sheetPr>
  <dimension ref="A3:AI49"/>
  <sheetViews>
    <sheetView topLeftCell="X1" zoomScale="62" zoomScaleNormal="62" workbookViewId="0">
      <selection activeCell="S86" sqref="S86"/>
    </sheetView>
  </sheetViews>
  <sheetFormatPr defaultColWidth="11.5703125" defaultRowHeight="14.25" outlineLevelCol="1"/>
  <cols>
    <col min="1" max="1" width="19.7109375" style="52" hidden="1" customWidth="1" outlineLevel="1"/>
    <col min="2" max="6" width="11.5703125" style="52" hidden="1" customWidth="1" outlineLevel="1"/>
    <col min="7" max="7" width="14" style="52" hidden="1" customWidth="1" outlineLevel="1"/>
    <col min="8" max="11" width="11.5703125" style="52" hidden="1" customWidth="1" outlineLevel="1"/>
    <col min="12" max="12" width="11.5703125" style="52" hidden="1" customWidth="1" outlineLevel="1" collapsed="1"/>
    <col min="13" max="13" width="30.85546875" style="52" hidden="1" customWidth="1" outlineLevel="1"/>
    <col min="14" max="14" width="17.5703125" style="52" hidden="1" customWidth="1" outlineLevel="1"/>
    <col min="15" max="16" width="0" style="52" hidden="1" customWidth="1" outlineLevel="1"/>
    <col min="17" max="17" width="20.5703125" style="52" hidden="1" customWidth="1" outlineLevel="1"/>
    <col min="18" max="18" width="12.28515625" style="52" hidden="1" customWidth="1" outlineLevel="1"/>
    <col min="19" max="19" width="13.42578125" style="52" hidden="1" customWidth="1" outlineLevel="1"/>
    <col min="20" max="20" width="18.42578125" style="52" hidden="1" customWidth="1" outlineLevel="1"/>
    <col min="21" max="21" width="11.85546875" style="52" hidden="1" customWidth="1" outlineLevel="1"/>
    <col min="22" max="22" width="11.28515625" style="52" hidden="1" customWidth="1" outlineLevel="1"/>
    <col min="23" max="23" width="11.140625" style="52" hidden="1" customWidth="1" outlineLevel="1"/>
    <col min="24" max="24" width="7.28515625" style="52" customWidth="1" collapsed="1"/>
    <col min="25" max="25" width="46.140625" style="52" customWidth="1"/>
    <col min="26" max="26" width="17.42578125" style="52" customWidth="1"/>
    <col min="27" max="27" width="11.5703125" style="52"/>
    <col min="28" max="28" width="14.5703125" style="52" customWidth="1"/>
    <col min="29" max="29" width="15.7109375" style="52" customWidth="1"/>
    <col min="30" max="30" width="13.28515625" style="52" customWidth="1"/>
    <col min="31" max="31" width="17" style="52" customWidth="1"/>
    <col min="32" max="32" width="14.5703125" style="52" customWidth="1"/>
    <col min="33" max="33" width="13.5703125" style="52" customWidth="1"/>
    <col min="34" max="34" width="11.28515625" style="52" customWidth="1"/>
    <col min="35" max="35" width="14.7109375" style="52" customWidth="1"/>
    <col min="36" max="16384" width="11.5703125" style="52"/>
  </cols>
  <sheetData>
    <row r="3" spans="1:35" ht="18">
      <c r="J3" s="52" t="s">
        <v>450</v>
      </c>
      <c r="K3" s="52" t="s">
        <v>451</v>
      </c>
      <c r="V3" s="53" t="s">
        <v>452</v>
      </c>
      <c r="W3" s="53" t="s">
        <v>453</v>
      </c>
      <c r="Y3" s="54"/>
      <c r="Z3" s="54"/>
      <c r="AA3" s="54"/>
      <c r="AB3" s="54"/>
      <c r="AC3" s="54"/>
      <c r="AD3" s="54"/>
      <c r="AE3" s="54"/>
      <c r="AF3" s="54"/>
      <c r="AG3" s="54"/>
      <c r="AH3" s="55" t="s">
        <v>454</v>
      </c>
      <c r="AI3" s="55" t="s">
        <v>455</v>
      </c>
    </row>
    <row r="4" spans="1:35" ht="18">
      <c r="E4" s="56" t="s">
        <v>456</v>
      </c>
      <c r="F4" s="57"/>
      <c r="G4" s="57"/>
      <c r="J4" s="52" t="s">
        <v>457</v>
      </c>
      <c r="K4" s="58">
        <v>44053</v>
      </c>
      <c r="L4" s="58"/>
      <c r="P4" s="56" t="s">
        <v>456</v>
      </c>
      <c r="Q4" s="57"/>
      <c r="R4" s="57"/>
      <c r="V4" s="52" t="s">
        <v>457</v>
      </c>
      <c r="W4" s="58">
        <v>44053</v>
      </c>
      <c r="Y4" s="54"/>
      <c r="Z4" s="54"/>
      <c r="AA4" s="54"/>
      <c r="AB4" s="59" t="s">
        <v>458</v>
      </c>
      <c r="AC4" s="54"/>
      <c r="AD4" s="54"/>
      <c r="AE4" s="54"/>
      <c r="AF4" s="54"/>
      <c r="AG4" s="54"/>
      <c r="AH4" s="60" t="s">
        <v>459</v>
      </c>
      <c r="AI4" s="61">
        <v>44193</v>
      </c>
    </row>
    <row r="5" spans="1:35" ht="18">
      <c r="E5" s="56"/>
      <c r="F5" s="57"/>
      <c r="G5" s="57"/>
      <c r="P5" s="56"/>
      <c r="Q5" s="57"/>
      <c r="R5" s="57"/>
      <c r="Y5" s="54"/>
      <c r="Z5" s="54"/>
      <c r="AA5" s="54"/>
      <c r="AB5" s="59"/>
      <c r="AC5" s="54"/>
      <c r="AD5" s="54"/>
      <c r="AE5" s="54"/>
      <c r="AF5" s="54"/>
      <c r="AG5" s="54"/>
      <c r="AH5" s="54"/>
      <c r="AI5" s="54"/>
    </row>
    <row r="6" spans="1:35" ht="19.5" customHeight="1">
      <c r="A6" s="258" t="s">
        <v>460</v>
      </c>
      <c r="B6" s="258"/>
      <c r="C6" s="258"/>
      <c r="D6" s="258"/>
      <c r="E6" s="258"/>
      <c r="F6" s="258"/>
      <c r="G6" s="258"/>
      <c r="H6" s="258"/>
      <c r="I6" s="258"/>
      <c r="J6" s="258"/>
      <c r="K6" s="258"/>
      <c r="L6" s="62"/>
      <c r="M6" s="259" t="s">
        <v>460</v>
      </c>
      <c r="N6" s="259"/>
      <c r="O6" s="259"/>
      <c r="P6" s="259"/>
      <c r="Q6" s="259"/>
      <c r="R6" s="259"/>
      <c r="S6" s="259"/>
      <c r="T6" s="259"/>
      <c r="U6" s="259"/>
      <c r="V6" s="259"/>
      <c r="W6" s="259"/>
      <c r="Y6" s="260" t="s">
        <v>461</v>
      </c>
      <c r="Z6" s="260"/>
      <c r="AA6" s="260"/>
      <c r="AB6" s="260"/>
      <c r="AC6" s="260"/>
      <c r="AD6" s="260"/>
      <c r="AE6" s="260"/>
      <c r="AF6" s="260"/>
      <c r="AG6" s="260"/>
      <c r="AH6" s="260"/>
      <c r="AI6" s="260"/>
    </row>
    <row r="7" spans="1:35" ht="30.75" thickBot="1">
      <c r="A7" s="258" t="str">
        <f>'[37]БП-Анг'!D3</f>
        <v>Production of orthopedic mattresses</v>
      </c>
      <c r="B7" s="258"/>
      <c r="C7" s="258"/>
      <c r="D7" s="258"/>
      <c r="E7" s="258"/>
      <c r="F7" s="258"/>
      <c r="G7" s="258"/>
      <c r="H7" s="258"/>
      <c r="I7" s="258"/>
      <c r="J7" s="258"/>
      <c r="K7" s="258"/>
      <c r="L7" s="62"/>
      <c r="M7" s="258" t="str">
        <f>'[37]БП-Анг'!D3</f>
        <v>Production of orthopedic mattresses</v>
      </c>
      <c r="N7" s="258"/>
      <c r="O7" s="258"/>
      <c r="P7" s="258"/>
      <c r="Q7" s="258"/>
      <c r="R7" s="258"/>
      <c r="S7" s="258"/>
      <c r="T7" s="258"/>
      <c r="U7" s="258"/>
      <c r="V7" s="258"/>
      <c r="W7" s="258"/>
      <c r="Y7" s="261" t="str">
        <f>'Форма-отчета 21'!D3</f>
        <v>Переработка резинотехнических отходов</v>
      </c>
      <c r="Z7" s="261"/>
      <c r="AA7" s="261"/>
      <c r="AB7" s="261"/>
      <c r="AC7" s="261"/>
      <c r="AD7" s="261"/>
      <c r="AE7" s="261"/>
      <c r="AF7" s="261"/>
      <c r="AG7" s="261"/>
      <c r="AH7" s="261"/>
      <c r="AI7" s="261"/>
    </row>
    <row r="8" spans="1:35" ht="44.25" customHeight="1" thickTop="1" thickBot="1">
      <c r="A8" s="63" t="s">
        <v>215</v>
      </c>
      <c r="B8" s="255" t="s">
        <v>462</v>
      </c>
      <c r="C8" s="256"/>
      <c r="D8" s="256"/>
      <c r="E8" s="256"/>
      <c r="F8" s="256"/>
      <c r="G8" s="256"/>
      <c r="H8" s="256"/>
      <c r="I8" s="256"/>
      <c r="J8" s="256"/>
      <c r="K8" s="257"/>
      <c r="L8" s="64"/>
      <c r="M8" s="65" t="s">
        <v>215</v>
      </c>
      <c r="N8" s="184" t="str">
        <f>'[37]БП-Анг'!E5</f>
        <v>Production of orthopedic mattresses</v>
      </c>
      <c r="O8" s="185"/>
      <c r="P8" s="185"/>
      <c r="Q8" s="185"/>
      <c r="R8" s="185"/>
      <c r="S8" s="185"/>
      <c r="T8" s="185"/>
      <c r="U8" s="185"/>
      <c r="V8" s="185"/>
      <c r="W8" s="186"/>
      <c r="Y8" s="66" t="s">
        <v>4</v>
      </c>
      <c r="Z8" s="155" t="str">
        <f>'Форма-отчета 21'!$E$5</f>
        <v>Переработка резинотехнических отходов и производство резиновых изделий</v>
      </c>
      <c r="AA8" s="155"/>
      <c r="AB8" s="155"/>
      <c r="AC8" s="155"/>
      <c r="AD8" s="155"/>
      <c r="AE8" s="155"/>
      <c r="AF8" s="155"/>
      <c r="AG8" s="155"/>
      <c r="AH8" s="155"/>
      <c r="AI8" s="155"/>
    </row>
    <row r="9" spans="1:35" ht="36" customHeight="1" thickTop="1" thickBot="1">
      <c r="A9" s="67" t="s">
        <v>463</v>
      </c>
      <c r="B9" s="114" t="s">
        <v>464</v>
      </c>
      <c r="C9" s="115"/>
      <c r="D9" s="115"/>
      <c r="E9" s="115"/>
      <c r="F9" s="115"/>
      <c r="G9" s="115"/>
      <c r="H9" s="115"/>
      <c r="I9" s="115"/>
      <c r="J9" s="115"/>
      <c r="K9" s="116"/>
      <c r="L9" s="64"/>
      <c r="M9" s="65" t="s">
        <v>463</v>
      </c>
      <c r="N9" s="184" t="str">
        <f>'[37]БП-Анг'!E28</f>
        <v>Consumer goods for the population, furniture industry</v>
      </c>
      <c r="O9" s="185"/>
      <c r="P9" s="185"/>
      <c r="Q9" s="185"/>
      <c r="R9" s="185"/>
      <c r="S9" s="185"/>
      <c r="T9" s="185"/>
      <c r="U9" s="185"/>
      <c r="V9" s="185"/>
      <c r="W9" s="186"/>
      <c r="Y9" s="66" t="s">
        <v>465</v>
      </c>
      <c r="Z9" s="155" t="str">
        <f>'Форма-отчета 21'!E12</f>
        <v>Переработка резинотехнических отходов</v>
      </c>
      <c r="AA9" s="155"/>
      <c r="AB9" s="155"/>
      <c r="AC9" s="155"/>
      <c r="AD9" s="155"/>
      <c r="AE9" s="155"/>
      <c r="AF9" s="155"/>
      <c r="AG9" s="155"/>
      <c r="AH9" s="155"/>
      <c r="AI9" s="155"/>
    </row>
    <row r="10" spans="1:35" ht="34.5" customHeight="1" thickTop="1" thickBot="1">
      <c r="A10" s="67" t="s">
        <v>466</v>
      </c>
      <c r="B10" s="114" t="s">
        <v>467</v>
      </c>
      <c r="C10" s="115"/>
      <c r="D10" s="115"/>
      <c r="E10" s="115" t="s">
        <v>468</v>
      </c>
      <c r="F10" s="115"/>
      <c r="G10" s="115"/>
      <c r="H10" s="115" t="s">
        <v>469</v>
      </c>
      <c r="I10" s="115"/>
      <c r="J10" s="115"/>
      <c r="K10" s="116"/>
      <c r="L10" s="64"/>
      <c r="M10" s="65" t="s">
        <v>466</v>
      </c>
      <c r="N10" s="184" t="str">
        <f>'[37]БП-Анг'!E9</f>
        <v>FEZ "Termez", Surkhan-Darya region</v>
      </c>
      <c r="O10" s="185"/>
      <c r="P10" s="185"/>
      <c r="Q10" s="185"/>
      <c r="R10" s="186"/>
      <c r="S10" s="184" t="s">
        <v>470</v>
      </c>
      <c r="T10" s="185"/>
      <c r="U10" s="186"/>
      <c r="V10" s="68" t="s">
        <v>471</v>
      </c>
      <c r="W10" s="68" t="s">
        <v>472</v>
      </c>
      <c r="Y10" s="66" t="s">
        <v>473</v>
      </c>
      <c r="Z10" s="252" t="str">
        <f>'Форма-отчета 21'!E10</f>
        <v>Города Республики Узбекистан</v>
      </c>
      <c r="AA10" s="253"/>
      <c r="AB10" s="253"/>
      <c r="AC10" s="253"/>
      <c r="AD10" s="253"/>
      <c r="AE10" s="253"/>
      <c r="AF10" s="253"/>
      <c r="AG10" s="253"/>
      <c r="AH10" s="253"/>
      <c r="AI10" s="254"/>
    </row>
    <row r="11" spans="1:35" ht="36" customHeight="1" thickTop="1" thickBot="1">
      <c r="A11" s="67" t="s">
        <v>474</v>
      </c>
      <c r="B11" s="114"/>
      <c r="C11" s="115"/>
      <c r="D11" s="115"/>
      <c r="E11" s="115"/>
      <c r="F11" s="115"/>
      <c r="G11" s="115"/>
      <c r="H11" s="115"/>
      <c r="I11" s="115"/>
      <c r="J11" s="115"/>
      <c r="K11" s="116"/>
      <c r="L11" s="64"/>
      <c r="M11" s="65" t="s">
        <v>474</v>
      </c>
      <c r="N11" s="69" t="s">
        <v>475</v>
      </c>
      <c r="O11" s="151">
        <f>'[37]Форма-отчета 16'!E37+'[37]Форма-отчета 16'!I37+'[37]Форма-отчета 16'!L37</f>
        <v>64800</v>
      </c>
      <c r="P11" s="152"/>
      <c r="Q11" s="152"/>
      <c r="R11" s="152"/>
      <c r="S11" s="152"/>
      <c r="T11" s="152"/>
      <c r="U11" s="152"/>
      <c r="V11" s="152"/>
      <c r="W11" s="153"/>
      <c r="Y11" s="66" t="s">
        <v>476</v>
      </c>
      <c r="Z11" s="70" t="s">
        <v>477</v>
      </c>
      <c r="AA11" s="246">
        <f>'Форма-отчета 21'!E35</f>
        <v>1843.2</v>
      </c>
      <c r="AB11" s="247"/>
      <c r="AC11" s="247"/>
      <c r="AD11" s="247"/>
      <c r="AE11" s="247"/>
      <c r="AF11" s="247"/>
      <c r="AG11" s="247"/>
      <c r="AH11" s="247"/>
      <c r="AI11" s="248"/>
    </row>
    <row r="12" spans="1:35" ht="22.5" customHeight="1" thickTop="1" thickBot="1">
      <c r="A12" s="67" t="s">
        <v>478</v>
      </c>
      <c r="B12" s="114" t="s">
        <v>479</v>
      </c>
      <c r="C12" s="115"/>
      <c r="D12" s="115"/>
      <c r="E12" s="115"/>
      <c r="F12" s="115"/>
      <c r="G12" s="115"/>
      <c r="H12" s="115"/>
      <c r="I12" s="115"/>
      <c r="J12" s="115"/>
      <c r="K12" s="116"/>
      <c r="L12" s="64"/>
      <c r="M12" s="65" t="s">
        <v>478</v>
      </c>
      <c r="N12" s="69" t="s">
        <v>480</v>
      </c>
      <c r="O12" s="151">
        <f>'[37]Форма-отчета 16'!E215</f>
        <v>3263889</v>
      </c>
      <c r="P12" s="152"/>
      <c r="Q12" s="152"/>
      <c r="R12" s="152"/>
      <c r="S12" s="152"/>
      <c r="T12" s="152"/>
      <c r="U12" s="152"/>
      <c r="V12" s="152"/>
      <c r="W12" s="153"/>
      <c r="Y12" s="66" t="s">
        <v>481</v>
      </c>
      <c r="Z12" s="70" t="s">
        <v>480</v>
      </c>
      <c r="AA12" s="246">
        <f>'Форма-отчета 21'!E150</f>
        <v>457800.68571428576</v>
      </c>
      <c r="AB12" s="247"/>
      <c r="AC12" s="247"/>
      <c r="AD12" s="247"/>
      <c r="AE12" s="247"/>
      <c r="AF12" s="247"/>
      <c r="AG12" s="247"/>
      <c r="AH12" s="247"/>
      <c r="AI12" s="248"/>
    </row>
    <row r="13" spans="1:35" ht="36" customHeight="1" thickTop="1" thickBot="1">
      <c r="A13" s="67" t="s">
        <v>482</v>
      </c>
      <c r="B13" s="114" t="s">
        <v>483</v>
      </c>
      <c r="C13" s="115"/>
      <c r="D13" s="115"/>
      <c r="E13" s="115"/>
      <c r="F13" s="115"/>
      <c r="G13" s="115"/>
      <c r="H13" s="115"/>
      <c r="I13" s="115"/>
      <c r="J13" s="115"/>
      <c r="K13" s="116"/>
      <c r="L13" s="64"/>
      <c r="M13" s="65" t="s">
        <v>482</v>
      </c>
      <c r="N13" s="69" t="s">
        <v>484</v>
      </c>
      <c r="O13" s="151">
        <f>'[37]Форма-отчета 16'!E224</f>
        <v>70.68500707069515</v>
      </c>
      <c r="P13" s="152"/>
      <c r="Q13" s="152"/>
      <c r="R13" s="152"/>
      <c r="S13" s="152"/>
      <c r="T13" s="152"/>
      <c r="U13" s="152"/>
      <c r="V13" s="152"/>
      <c r="W13" s="153"/>
      <c r="Y13" s="66" t="s">
        <v>485</v>
      </c>
      <c r="Z13" s="70" t="s">
        <v>486</v>
      </c>
      <c r="AA13" s="246">
        <f>'Форма-отчета 21'!E173</f>
        <v>37.414176522850724</v>
      </c>
      <c r="AB13" s="247"/>
      <c r="AC13" s="247"/>
      <c r="AD13" s="247"/>
      <c r="AE13" s="247"/>
      <c r="AF13" s="247"/>
      <c r="AG13" s="247"/>
      <c r="AH13" s="247"/>
      <c r="AI13" s="248"/>
    </row>
    <row r="14" spans="1:35" ht="26.25" customHeight="1" thickTop="1" thickBot="1">
      <c r="A14" s="249" t="s">
        <v>487</v>
      </c>
      <c r="B14" s="114" t="s">
        <v>488</v>
      </c>
      <c r="C14" s="115"/>
      <c r="D14" s="115"/>
      <c r="E14" s="115"/>
      <c r="F14" s="115"/>
      <c r="G14" s="115"/>
      <c r="H14" s="115"/>
      <c r="I14" s="115"/>
      <c r="J14" s="115"/>
      <c r="K14" s="116"/>
      <c r="L14" s="64"/>
      <c r="M14" s="105" t="s">
        <v>487</v>
      </c>
      <c r="N14" s="144" t="s">
        <v>489</v>
      </c>
      <c r="O14" s="145"/>
      <c r="P14" s="146"/>
      <c r="Q14" s="206" t="s">
        <v>471</v>
      </c>
      <c r="R14" s="207"/>
      <c r="S14" s="208"/>
      <c r="T14" s="206" t="s">
        <v>472</v>
      </c>
      <c r="U14" s="207"/>
      <c r="V14" s="207"/>
      <c r="W14" s="209"/>
      <c r="Y14" s="110" t="s">
        <v>490</v>
      </c>
      <c r="Z14" s="128" t="s">
        <v>491</v>
      </c>
      <c r="AA14" s="129"/>
      <c r="AB14" s="129"/>
      <c r="AC14" s="197" t="s">
        <v>492</v>
      </c>
      <c r="AD14" s="197"/>
      <c r="AE14" s="197"/>
      <c r="AF14" s="197"/>
      <c r="AG14" s="197"/>
      <c r="AH14" s="197"/>
      <c r="AI14" s="198"/>
    </row>
    <row r="15" spans="1:35" ht="24.75" customHeight="1" thickTop="1" thickBot="1">
      <c r="A15" s="250"/>
      <c r="B15" s="71"/>
      <c r="C15" s="72"/>
      <c r="D15" s="72"/>
      <c r="E15" s="72"/>
      <c r="F15" s="72"/>
      <c r="G15" s="72"/>
      <c r="H15" s="72"/>
      <c r="I15" s="72"/>
      <c r="J15" s="72"/>
      <c r="K15" s="73"/>
      <c r="L15" s="64"/>
      <c r="M15" s="205"/>
      <c r="N15" s="199" t="s">
        <v>493</v>
      </c>
      <c r="O15" s="200"/>
      <c r="P15" s="114"/>
      <c r="Q15" s="201" t="s">
        <v>471</v>
      </c>
      <c r="R15" s="202"/>
      <c r="S15" s="203"/>
      <c r="T15" s="201" t="s">
        <v>472</v>
      </c>
      <c r="U15" s="202"/>
      <c r="V15" s="202"/>
      <c r="W15" s="204"/>
      <c r="Y15" s="110"/>
      <c r="Z15" s="123" t="s">
        <v>494</v>
      </c>
      <c r="AA15" s="124"/>
      <c r="AB15" s="124"/>
      <c r="AC15" s="187" t="s">
        <v>492</v>
      </c>
      <c r="AD15" s="187"/>
      <c r="AE15" s="187"/>
      <c r="AF15" s="187"/>
      <c r="AG15" s="187"/>
      <c r="AH15" s="187"/>
      <c r="AI15" s="188"/>
    </row>
    <row r="16" spans="1:35" ht="26.25" customHeight="1" thickTop="1" thickBot="1">
      <c r="A16" s="251"/>
      <c r="B16" s="71"/>
      <c r="C16" s="72"/>
      <c r="D16" s="72"/>
      <c r="E16" s="72"/>
      <c r="F16" s="72"/>
      <c r="G16" s="72"/>
      <c r="H16" s="72"/>
      <c r="I16" s="72"/>
      <c r="J16" s="72"/>
      <c r="K16" s="73"/>
      <c r="L16" s="64"/>
      <c r="M16" s="106"/>
      <c r="N16" s="117" t="s">
        <v>495</v>
      </c>
      <c r="O16" s="118"/>
      <c r="P16" s="119"/>
      <c r="Q16" s="189" t="s">
        <v>471</v>
      </c>
      <c r="R16" s="190"/>
      <c r="S16" s="191"/>
      <c r="T16" s="189" t="s">
        <v>472</v>
      </c>
      <c r="U16" s="190"/>
      <c r="V16" s="190"/>
      <c r="W16" s="192"/>
      <c r="Y16" s="110"/>
      <c r="Z16" s="193" t="s">
        <v>496</v>
      </c>
      <c r="AA16" s="194"/>
      <c r="AB16" s="194"/>
      <c r="AC16" s="195"/>
      <c r="AD16" s="195"/>
      <c r="AE16" s="195"/>
      <c r="AF16" s="195" t="s">
        <v>497</v>
      </c>
      <c r="AG16" s="195"/>
      <c r="AH16" s="195"/>
      <c r="AI16" s="196"/>
    </row>
    <row r="17" spans="1:35" ht="39.75" customHeight="1" thickTop="1" thickBot="1">
      <c r="A17" s="67" t="s">
        <v>498</v>
      </c>
      <c r="B17" s="114" t="s">
        <v>499</v>
      </c>
      <c r="C17" s="115"/>
      <c r="D17" s="115"/>
      <c r="E17" s="115"/>
      <c r="F17" s="115"/>
      <c r="G17" s="115"/>
      <c r="H17" s="115"/>
      <c r="I17" s="115"/>
      <c r="J17" s="115"/>
      <c r="K17" s="116"/>
      <c r="L17" s="64"/>
      <c r="M17" s="105" t="s">
        <v>500</v>
      </c>
      <c r="N17" s="144" t="s">
        <v>501</v>
      </c>
      <c r="O17" s="145"/>
      <c r="P17" s="146"/>
      <c r="Q17" s="206" t="s">
        <v>471</v>
      </c>
      <c r="R17" s="207"/>
      <c r="S17" s="208"/>
      <c r="T17" s="206" t="s">
        <v>472</v>
      </c>
      <c r="U17" s="207"/>
      <c r="V17" s="207"/>
      <c r="W17" s="209"/>
      <c r="Y17" s="110" t="s">
        <v>502</v>
      </c>
      <c r="Z17" s="128" t="s">
        <v>503</v>
      </c>
      <c r="AA17" s="129"/>
      <c r="AB17" s="129"/>
      <c r="AC17" s="197" t="s">
        <v>492</v>
      </c>
      <c r="AD17" s="197"/>
      <c r="AE17" s="197"/>
      <c r="AF17" s="197"/>
      <c r="AG17" s="197"/>
      <c r="AH17" s="197"/>
      <c r="AI17" s="198"/>
    </row>
    <row r="18" spans="1:35" ht="27" customHeight="1" thickTop="1" thickBot="1">
      <c r="A18" s="67"/>
      <c r="B18" s="71"/>
      <c r="C18" s="72"/>
      <c r="D18" s="72"/>
      <c r="E18" s="72"/>
      <c r="F18" s="72"/>
      <c r="G18" s="72"/>
      <c r="H18" s="72"/>
      <c r="I18" s="72"/>
      <c r="J18" s="72"/>
      <c r="K18" s="73"/>
      <c r="L18" s="64"/>
      <c r="M18" s="205"/>
      <c r="N18" s="199" t="s">
        <v>504</v>
      </c>
      <c r="O18" s="200"/>
      <c r="P18" s="114"/>
      <c r="Q18" s="201"/>
      <c r="R18" s="202"/>
      <c r="S18" s="203"/>
      <c r="T18" s="201" t="s">
        <v>472</v>
      </c>
      <c r="U18" s="202"/>
      <c r="V18" s="202"/>
      <c r="W18" s="204"/>
      <c r="Y18" s="110"/>
      <c r="Z18" s="123" t="s">
        <v>505</v>
      </c>
      <c r="AA18" s="124"/>
      <c r="AB18" s="124"/>
      <c r="AC18" s="187"/>
      <c r="AD18" s="187"/>
      <c r="AE18" s="187"/>
      <c r="AF18" s="187" t="s">
        <v>497</v>
      </c>
      <c r="AG18" s="187"/>
      <c r="AH18" s="187"/>
      <c r="AI18" s="188"/>
    </row>
    <row r="19" spans="1:35" ht="21.75" customHeight="1" thickTop="1" thickBot="1">
      <c r="A19" s="67"/>
      <c r="B19" s="71"/>
      <c r="C19" s="72"/>
      <c r="D19" s="72"/>
      <c r="E19" s="72"/>
      <c r="F19" s="72"/>
      <c r="G19" s="72"/>
      <c r="H19" s="72"/>
      <c r="I19" s="72"/>
      <c r="J19" s="72"/>
      <c r="K19" s="73"/>
      <c r="L19" s="64"/>
      <c r="M19" s="205"/>
      <c r="N19" s="199" t="s">
        <v>506</v>
      </c>
      <c r="O19" s="200"/>
      <c r="P19" s="114"/>
      <c r="Q19" s="201"/>
      <c r="R19" s="202"/>
      <c r="S19" s="203"/>
      <c r="T19" s="201" t="s">
        <v>472</v>
      </c>
      <c r="U19" s="202"/>
      <c r="V19" s="202"/>
      <c r="W19" s="204"/>
      <c r="Y19" s="110"/>
      <c r="Z19" s="123" t="s">
        <v>507</v>
      </c>
      <c r="AA19" s="124"/>
      <c r="AB19" s="124"/>
      <c r="AC19" s="187"/>
      <c r="AD19" s="187"/>
      <c r="AE19" s="187"/>
      <c r="AF19" s="187" t="s">
        <v>497</v>
      </c>
      <c r="AG19" s="187"/>
      <c r="AH19" s="187"/>
      <c r="AI19" s="188"/>
    </row>
    <row r="20" spans="1:35" ht="29.25" customHeight="1" thickTop="1" thickBot="1">
      <c r="A20" s="67"/>
      <c r="B20" s="71"/>
      <c r="C20" s="72"/>
      <c r="D20" s="72"/>
      <c r="E20" s="72"/>
      <c r="F20" s="72"/>
      <c r="G20" s="72"/>
      <c r="H20" s="72"/>
      <c r="I20" s="72"/>
      <c r="J20" s="72"/>
      <c r="K20" s="73"/>
      <c r="L20" s="64"/>
      <c r="M20" s="106"/>
      <c r="N20" s="117" t="s">
        <v>508</v>
      </c>
      <c r="O20" s="118"/>
      <c r="P20" s="119"/>
      <c r="Q20" s="189"/>
      <c r="R20" s="190"/>
      <c r="S20" s="191"/>
      <c r="T20" s="189" t="s">
        <v>472</v>
      </c>
      <c r="U20" s="190"/>
      <c r="V20" s="190"/>
      <c r="W20" s="192"/>
      <c r="Y20" s="110"/>
      <c r="Z20" s="193" t="s">
        <v>509</v>
      </c>
      <c r="AA20" s="194"/>
      <c r="AB20" s="194"/>
      <c r="AC20" s="195"/>
      <c r="AD20" s="195"/>
      <c r="AE20" s="195"/>
      <c r="AF20" s="195" t="s">
        <v>497</v>
      </c>
      <c r="AG20" s="195"/>
      <c r="AH20" s="195"/>
      <c r="AI20" s="196"/>
    </row>
    <row r="21" spans="1:35" ht="30" customHeight="1" thickTop="1" thickBot="1">
      <c r="A21" s="67" t="s">
        <v>510</v>
      </c>
      <c r="B21" s="114" t="s">
        <v>511</v>
      </c>
      <c r="C21" s="115"/>
      <c r="D21" s="115"/>
      <c r="E21" s="115"/>
      <c r="F21" s="115"/>
      <c r="G21" s="115"/>
      <c r="H21" s="115"/>
      <c r="I21" s="115"/>
      <c r="J21" s="115"/>
      <c r="K21" s="116"/>
      <c r="L21" s="64"/>
      <c r="M21" s="105" t="s">
        <v>512</v>
      </c>
      <c r="N21" s="144" t="s">
        <v>513</v>
      </c>
      <c r="O21" s="145"/>
      <c r="P21" s="146"/>
      <c r="Q21" s="206" t="s">
        <v>471</v>
      </c>
      <c r="R21" s="207"/>
      <c r="S21" s="208"/>
      <c r="T21" s="206" t="s">
        <v>472</v>
      </c>
      <c r="U21" s="207"/>
      <c r="V21" s="207"/>
      <c r="W21" s="209"/>
      <c r="Y21" s="110" t="s">
        <v>514</v>
      </c>
      <c r="Z21" s="240" t="s">
        <v>497</v>
      </c>
      <c r="AA21" s="232"/>
      <c r="AB21" s="232"/>
      <c r="AC21" s="232"/>
      <c r="AD21" s="232"/>
      <c r="AE21" s="232"/>
      <c r="AF21" s="232"/>
      <c r="AG21" s="232"/>
      <c r="AH21" s="232"/>
      <c r="AI21" s="233"/>
    </row>
    <row r="22" spans="1:35" ht="45" customHeight="1" thickTop="1" thickBot="1">
      <c r="A22" s="67"/>
      <c r="B22" s="71"/>
      <c r="C22" s="72"/>
      <c r="D22" s="72"/>
      <c r="E22" s="72"/>
      <c r="F22" s="72"/>
      <c r="G22" s="72"/>
      <c r="H22" s="72"/>
      <c r="I22" s="72"/>
      <c r="J22" s="72"/>
      <c r="K22" s="73"/>
      <c r="L22" s="64"/>
      <c r="M22" s="106"/>
      <c r="N22" s="117" t="s">
        <v>515</v>
      </c>
      <c r="O22" s="118"/>
      <c r="P22" s="119"/>
      <c r="Q22" s="214" t="s">
        <v>516</v>
      </c>
      <c r="R22" s="215"/>
      <c r="S22" s="215"/>
      <c r="T22" s="215"/>
      <c r="U22" s="215"/>
      <c r="V22" s="215"/>
      <c r="W22" s="216"/>
      <c r="Y22" s="110"/>
      <c r="Z22" s="244" t="s">
        <v>517</v>
      </c>
      <c r="AA22" s="218"/>
      <c r="AB22" s="218"/>
      <c r="AC22" s="218"/>
      <c r="AD22" s="218"/>
      <c r="AE22" s="218"/>
      <c r="AF22" s="218"/>
      <c r="AG22" s="218"/>
      <c r="AH22" s="218"/>
      <c r="AI22" s="219"/>
    </row>
    <row r="23" spans="1:35" ht="28.5" customHeight="1" thickTop="1" thickBot="1">
      <c r="A23" s="140" t="s">
        <v>518</v>
      </c>
      <c r="B23" s="114" t="s">
        <v>468</v>
      </c>
      <c r="C23" s="115"/>
      <c r="D23" s="115"/>
      <c r="E23" s="115"/>
      <c r="F23" s="115"/>
      <c r="G23" s="115" t="s">
        <v>469</v>
      </c>
      <c r="H23" s="115"/>
      <c r="I23" s="115"/>
      <c r="J23" s="115"/>
      <c r="K23" s="116"/>
      <c r="L23" s="64"/>
      <c r="M23" s="105" t="s">
        <v>519</v>
      </c>
      <c r="N23" s="245" t="s">
        <v>471</v>
      </c>
      <c r="O23" s="207"/>
      <c r="P23" s="207"/>
      <c r="Q23" s="207"/>
      <c r="R23" s="208"/>
      <c r="S23" s="206" t="s">
        <v>472</v>
      </c>
      <c r="T23" s="207"/>
      <c r="U23" s="207"/>
      <c r="V23" s="207"/>
      <c r="W23" s="209"/>
      <c r="Y23" s="110" t="s">
        <v>520</v>
      </c>
      <c r="Z23" s="240" t="s">
        <v>497</v>
      </c>
      <c r="AA23" s="232"/>
      <c r="AB23" s="232"/>
      <c r="AC23" s="232"/>
      <c r="AD23" s="232"/>
      <c r="AE23" s="232"/>
      <c r="AF23" s="232"/>
      <c r="AG23" s="232"/>
      <c r="AH23" s="232"/>
      <c r="AI23" s="233"/>
    </row>
    <row r="24" spans="1:35" ht="41.25" customHeight="1" thickTop="1" thickBot="1">
      <c r="A24" s="140"/>
      <c r="B24" s="114" t="s">
        <v>521</v>
      </c>
      <c r="C24" s="115"/>
      <c r="D24" s="115"/>
      <c r="E24" s="115"/>
      <c r="F24" s="115"/>
      <c r="G24" s="115"/>
      <c r="H24" s="115"/>
      <c r="I24" s="115"/>
      <c r="J24" s="115"/>
      <c r="K24" s="116"/>
      <c r="L24" s="64"/>
      <c r="M24" s="106"/>
      <c r="N24" s="241" t="s">
        <v>522</v>
      </c>
      <c r="O24" s="242"/>
      <c r="P24" s="242"/>
      <c r="Q24" s="242"/>
      <c r="R24" s="243"/>
      <c r="S24" s="214" t="s">
        <v>523</v>
      </c>
      <c r="T24" s="215"/>
      <c r="U24" s="215"/>
      <c r="V24" s="215"/>
      <c r="W24" s="216"/>
      <c r="Y24" s="110"/>
      <c r="Z24" s="244" t="s">
        <v>524</v>
      </c>
      <c r="AA24" s="218"/>
      <c r="AB24" s="218"/>
      <c r="AC24" s="218"/>
      <c r="AD24" s="218"/>
      <c r="AE24" s="218"/>
      <c r="AF24" s="218"/>
      <c r="AG24" s="218"/>
      <c r="AH24" s="218"/>
      <c r="AI24" s="219"/>
    </row>
    <row r="25" spans="1:35" ht="30" customHeight="1" thickTop="1" thickBot="1">
      <c r="A25" s="140" t="s">
        <v>525</v>
      </c>
      <c r="B25" s="114" t="s">
        <v>526</v>
      </c>
      <c r="C25" s="115"/>
      <c r="D25" s="115"/>
      <c r="E25" s="115" t="s">
        <v>468</v>
      </c>
      <c r="F25" s="115"/>
      <c r="G25" s="115"/>
      <c r="H25" s="115" t="s">
        <v>469</v>
      </c>
      <c r="I25" s="115"/>
      <c r="J25" s="115"/>
      <c r="K25" s="116"/>
      <c r="L25" s="64"/>
      <c r="M25" s="105" t="s">
        <v>527</v>
      </c>
      <c r="N25" s="234" t="s">
        <v>528</v>
      </c>
      <c r="O25" s="235"/>
      <c r="P25" s="236"/>
      <c r="Q25" s="206" t="s">
        <v>471</v>
      </c>
      <c r="R25" s="207"/>
      <c r="S25" s="208"/>
      <c r="T25" s="206" t="s">
        <v>472</v>
      </c>
      <c r="U25" s="207"/>
      <c r="V25" s="207"/>
      <c r="W25" s="209"/>
      <c r="Y25" s="110" t="s">
        <v>529</v>
      </c>
      <c r="Z25" s="128" t="s">
        <v>530</v>
      </c>
      <c r="AA25" s="129"/>
      <c r="AB25" s="129"/>
      <c r="AC25" s="231" t="s">
        <v>497</v>
      </c>
      <c r="AD25" s="232"/>
      <c r="AE25" s="232"/>
      <c r="AF25" s="232"/>
      <c r="AG25" s="232"/>
      <c r="AH25" s="232"/>
      <c r="AI25" s="233"/>
    </row>
    <row r="26" spans="1:35" ht="36.75" customHeight="1" thickTop="1" thickBot="1">
      <c r="A26" s="140"/>
      <c r="B26" s="114"/>
      <c r="C26" s="115"/>
      <c r="D26" s="115"/>
      <c r="E26" s="115" t="s">
        <v>531</v>
      </c>
      <c r="F26" s="115"/>
      <c r="G26" s="115"/>
      <c r="H26" s="115"/>
      <c r="I26" s="115"/>
      <c r="J26" s="115"/>
      <c r="K26" s="116"/>
      <c r="L26" s="64"/>
      <c r="M26" s="205"/>
      <c r="N26" s="237"/>
      <c r="O26" s="238"/>
      <c r="P26" s="239"/>
      <c r="Q26" s="226" t="s">
        <v>532</v>
      </c>
      <c r="R26" s="200"/>
      <c r="S26" s="114"/>
      <c r="T26" s="226" t="s">
        <v>533</v>
      </c>
      <c r="U26" s="200"/>
      <c r="V26" s="200"/>
      <c r="W26" s="227"/>
      <c r="Y26" s="110"/>
      <c r="Z26" s="123"/>
      <c r="AA26" s="124"/>
      <c r="AB26" s="124"/>
      <c r="AC26" s="228" t="s">
        <v>534</v>
      </c>
      <c r="AD26" s="229"/>
      <c r="AE26" s="229"/>
      <c r="AF26" s="229"/>
      <c r="AG26" s="229"/>
      <c r="AH26" s="229"/>
      <c r="AI26" s="230"/>
    </row>
    <row r="27" spans="1:35" ht="30" thickTop="1" thickBot="1">
      <c r="A27" s="140"/>
      <c r="B27" s="114" t="s">
        <v>535</v>
      </c>
      <c r="C27" s="115"/>
      <c r="D27" s="115"/>
      <c r="E27" s="115" t="s">
        <v>468</v>
      </c>
      <c r="F27" s="115"/>
      <c r="G27" s="115"/>
      <c r="H27" s="115" t="s">
        <v>469</v>
      </c>
      <c r="I27" s="115"/>
      <c r="J27" s="115"/>
      <c r="K27" s="116"/>
      <c r="L27" s="64" t="s">
        <v>536</v>
      </c>
      <c r="M27" s="205"/>
      <c r="N27" s="220" t="s">
        <v>536</v>
      </c>
      <c r="O27" s="221"/>
      <c r="P27" s="222"/>
      <c r="Q27" s="201" t="s">
        <v>471</v>
      </c>
      <c r="R27" s="202"/>
      <c r="S27" s="203"/>
      <c r="T27" s="201" t="s">
        <v>472</v>
      </c>
      <c r="U27" s="202"/>
      <c r="V27" s="202"/>
      <c r="W27" s="204"/>
      <c r="Y27" s="110"/>
      <c r="Z27" s="123" t="s">
        <v>537</v>
      </c>
      <c r="AA27" s="124"/>
      <c r="AB27" s="124"/>
      <c r="AC27" s="210" t="s">
        <v>497</v>
      </c>
      <c r="AD27" s="211"/>
      <c r="AE27" s="211"/>
      <c r="AF27" s="211"/>
      <c r="AG27" s="211"/>
      <c r="AH27" s="211"/>
      <c r="AI27" s="212"/>
    </row>
    <row r="28" spans="1:35" ht="36.75" customHeight="1" thickTop="1" thickBot="1">
      <c r="A28" s="140"/>
      <c r="B28" s="114"/>
      <c r="C28" s="115"/>
      <c r="D28" s="115"/>
      <c r="E28" s="115" t="s">
        <v>531</v>
      </c>
      <c r="F28" s="115"/>
      <c r="G28" s="115"/>
      <c r="H28" s="115"/>
      <c r="I28" s="115"/>
      <c r="J28" s="115"/>
      <c r="K28" s="116"/>
      <c r="L28" s="64"/>
      <c r="M28" s="205"/>
      <c r="N28" s="237"/>
      <c r="O28" s="238"/>
      <c r="P28" s="239"/>
      <c r="Q28" s="226" t="str">
        <f>Q26</f>
        <v xml:space="preserve">If not, what do you need? 
</v>
      </c>
      <c r="R28" s="200"/>
      <c r="S28" s="114"/>
      <c r="T28" s="226" t="s">
        <v>533</v>
      </c>
      <c r="U28" s="200"/>
      <c r="V28" s="200"/>
      <c r="W28" s="227"/>
      <c r="Y28" s="110"/>
      <c r="Z28" s="123"/>
      <c r="AA28" s="124"/>
      <c r="AB28" s="124"/>
      <c r="AC28" s="228" t="s">
        <v>534</v>
      </c>
      <c r="AD28" s="229"/>
      <c r="AE28" s="229"/>
      <c r="AF28" s="229"/>
      <c r="AG28" s="229"/>
      <c r="AH28" s="229"/>
      <c r="AI28" s="230"/>
    </row>
    <row r="29" spans="1:35" ht="44.25" thickTop="1" thickBot="1">
      <c r="A29" s="140"/>
      <c r="B29" s="114" t="s">
        <v>538</v>
      </c>
      <c r="C29" s="115"/>
      <c r="D29" s="115"/>
      <c r="E29" s="115" t="s">
        <v>468</v>
      </c>
      <c r="F29" s="115"/>
      <c r="G29" s="115"/>
      <c r="H29" s="115" t="s">
        <v>469</v>
      </c>
      <c r="I29" s="115"/>
      <c r="J29" s="115"/>
      <c r="K29" s="116"/>
      <c r="L29" s="64" t="s">
        <v>539</v>
      </c>
      <c r="M29" s="205"/>
      <c r="N29" s="220" t="s">
        <v>539</v>
      </c>
      <c r="O29" s="221"/>
      <c r="P29" s="222"/>
      <c r="Q29" s="201" t="s">
        <v>471</v>
      </c>
      <c r="R29" s="202"/>
      <c r="S29" s="203"/>
      <c r="T29" s="201" t="s">
        <v>472</v>
      </c>
      <c r="U29" s="202"/>
      <c r="V29" s="202"/>
      <c r="W29" s="204"/>
      <c r="Y29" s="110"/>
      <c r="Z29" s="123" t="s">
        <v>540</v>
      </c>
      <c r="AA29" s="124"/>
      <c r="AB29" s="124"/>
      <c r="AC29" s="210" t="s">
        <v>497</v>
      </c>
      <c r="AD29" s="211"/>
      <c r="AE29" s="211"/>
      <c r="AF29" s="211"/>
      <c r="AG29" s="211"/>
      <c r="AH29" s="211"/>
      <c r="AI29" s="212"/>
    </row>
    <row r="30" spans="1:35" ht="40.5" customHeight="1" thickTop="1" thickBot="1">
      <c r="A30" s="140"/>
      <c r="B30" s="114"/>
      <c r="C30" s="115"/>
      <c r="D30" s="115"/>
      <c r="E30" s="115" t="s">
        <v>531</v>
      </c>
      <c r="F30" s="115"/>
      <c r="G30" s="115"/>
      <c r="H30" s="115"/>
      <c r="I30" s="115"/>
      <c r="J30" s="115"/>
      <c r="K30" s="116"/>
      <c r="L30" s="64"/>
      <c r="M30" s="106"/>
      <c r="N30" s="223"/>
      <c r="O30" s="224"/>
      <c r="P30" s="225"/>
      <c r="Q30" s="213" t="str">
        <f>Q26</f>
        <v xml:space="preserve">If not, what do you need? 
</v>
      </c>
      <c r="R30" s="118"/>
      <c r="S30" s="119"/>
      <c r="T30" s="214" t="s">
        <v>541</v>
      </c>
      <c r="U30" s="215"/>
      <c r="V30" s="215"/>
      <c r="W30" s="216"/>
      <c r="Y30" s="110"/>
      <c r="Z30" s="193"/>
      <c r="AA30" s="194"/>
      <c r="AB30" s="194"/>
      <c r="AC30" s="217" t="s">
        <v>542</v>
      </c>
      <c r="AD30" s="218"/>
      <c r="AE30" s="218"/>
      <c r="AF30" s="218"/>
      <c r="AG30" s="218"/>
      <c r="AH30" s="218"/>
      <c r="AI30" s="219"/>
    </row>
    <row r="31" spans="1:35" ht="20.25" thickTop="1" thickBot="1">
      <c r="A31" s="140" t="s">
        <v>543</v>
      </c>
      <c r="B31" s="114" t="s">
        <v>544</v>
      </c>
      <c r="C31" s="115"/>
      <c r="D31" s="115"/>
      <c r="E31" s="115" t="s">
        <v>468</v>
      </c>
      <c r="F31" s="115"/>
      <c r="G31" s="115"/>
      <c r="H31" s="115" t="s">
        <v>469</v>
      </c>
      <c r="I31" s="115"/>
      <c r="J31" s="115"/>
      <c r="K31" s="116"/>
      <c r="L31" s="64"/>
      <c r="M31" s="105" t="s">
        <v>545</v>
      </c>
      <c r="N31" s="144" t="s">
        <v>546</v>
      </c>
      <c r="O31" s="145"/>
      <c r="P31" s="146"/>
      <c r="Q31" s="206" t="s">
        <v>471</v>
      </c>
      <c r="R31" s="207"/>
      <c r="S31" s="208"/>
      <c r="T31" s="206" t="s">
        <v>472</v>
      </c>
      <c r="U31" s="207"/>
      <c r="V31" s="207"/>
      <c r="W31" s="209"/>
      <c r="Y31" s="110" t="s">
        <v>547</v>
      </c>
      <c r="Z31" s="128" t="s">
        <v>548</v>
      </c>
      <c r="AA31" s="129"/>
      <c r="AB31" s="129"/>
      <c r="AC31" s="197" t="s">
        <v>492</v>
      </c>
      <c r="AD31" s="197"/>
      <c r="AE31" s="197"/>
      <c r="AF31" s="197"/>
      <c r="AG31" s="197"/>
      <c r="AH31" s="197"/>
      <c r="AI31" s="198"/>
    </row>
    <row r="32" spans="1:35" ht="25.5" customHeight="1" thickTop="1" thickBot="1">
      <c r="A32" s="140"/>
      <c r="B32" s="114" t="s">
        <v>549</v>
      </c>
      <c r="C32" s="115"/>
      <c r="D32" s="115"/>
      <c r="E32" s="115" t="s">
        <v>468</v>
      </c>
      <c r="F32" s="115"/>
      <c r="G32" s="115"/>
      <c r="H32" s="115" t="s">
        <v>469</v>
      </c>
      <c r="I32" s="115"/>
      <c r="J32" s="115"/>
      <c r="K32" s="116"/>
      <c r="L32" s="64"/>
      <c r="M32" s="205"/>
      <c r="N32" s="199" t="s">
        <v>550</v>
      </c>
      <c r="O32" s="200"/>
      <c r="P32" s="114"/>
      <c r="Q32" s="201" t="s">
        <v>471</v>
      </c>
      <c r="R32" s="202"/>
      <c r="S32" s="203"/>
      <c r="T32" s="201" t="s">
        <v>472</v>
      </c>
      <c r="U32" s="202"/>
      <c r="V32" s="202"/>
      <c r="W32" s="204"/>
      <c r="Y32" s="110"/>
      <c r="Z32" s="123" t="s">
        <v>551</v>
      </c>
      <c r="AA32" s="124"/>
      <c r="AB32" s="124"/>
      <c r="AC32" s="187"/>
      <c r="AD32" s="187"/>
      <c r="AE32" s="187"/>
      <c r="AF32" s="187" t="s">
        <v>497</v>
      </c>
      <c r="AG32" s="187"/>
      <c r="AH32" s="187"/>
      <c r="AI32" s="188"/>
    </row>
    <row r="33" spans="1:35" ht="36" customHeight="1" thickTop="1" thickBot="1">
      <c r="A33" s="140"/>
      <c r="B33" s="114" t="s">
        <v>552</v>
      </c>
      <c r="C33" s="115"/>
      <c r="D33" s="115"/>
      <c r="E33" s="115" t="s">
        <v>468</v>
      </c>
      <c r="F33" s="115"/>
      <c r="G33" s="115"/>
      <c r="H33" s="115" t="s">
        <v>469</v>
      </c>
      <c r="I33" s="115"/>
      <c r="J33" s="115"/>
      <c r="K33" s="116"/>
      <c r="L33" s="64"/>
      <c r="M33" s="106"/>
      <c r="N33" s="117" t="s">
        <v>553</v>
      </c>
      <c r="O33" s="118"/>
      <c r="P33" s="119"/>
      <c r="Q33" s="189" t="s">
        <v>471</v>
      </c>
      <c r="R33" s="190"/>
      <c r="S33" s="191"/>
      <c r="T33" s="189" t="s">
        <v>472</v>
      </c>
      <c r="U33" s="190"/>
      <c r="V33" s="190"/>
      <c r="W33" s="192"/>
      <c r="Y33" s="110"/>
      <c r="Z33" s="193" t="s">
        <v>554</v>
      </c>
      <c r="AA33" s="194"/>
      <c r="AB33" s="194"/>
      <c r="AC33" s="195" t="s">
        <v>492</v>
      </c>
      <c r="AD33" s="195"/>
      <c r="AE33" s="195"/>
      <c r="AF33" s="195"/>
      <c r="AG33" s="195"/>
      <c r="AH33" s="195"/>
      <c r="AI33" s="196"/>
    </row>
    <row r="34" spans="1:35" ht="30" customHeight="1" thickTop="1" thickBot="1">
      <c r="A34" s="67"/>
      <c r="B34" s="71"/>
      <c r="C34" s="72"/>
      <c r="D34" s="72"/>
      <c r="E34" s="72"/>
      <c r="F34" s="72"/>
      <c r="G34" s="72"/>
      <c r="H34" s="72"/>
      <c r="I34" s="72"/>
      <c r="J34" s="72"/>
      <c r="K34" s="73"/>
      <c r="L34" s="64"/>
      <c r="M34" s="105" t="s">
        <v>555</v>
      </c>
      <c r="N34" s="144" t="s">
        <v>556</v>
      </c>
      <c r="O34" s="145"/>
      <c r="P34" s="146"/>
      <c r="Q34" s="206" t="s">
        <v>471</v>
      </c>
      <c r="R34" s="207"/>
      <c r="S34" s="208"/>
      <c r="T34" s="206" t="s">
        <v>472</v>
      </c>
      <c r="U34" s="207"/>
      <c r="V34" s="207"/>
      <c r="W34" s="209"/>
      <c r="Y34" s="110" t="s">
        <v>557</v>
      </c>
      <c r="Z34" s="128" t="s">
        <v>558</v>
      </c>
      <c r="AA34" s="129"/>
      <c r="AB34" s="129"/>
      <c r="AC34" s="197" t="s">
        <v>492</v>
      </c>
      <c r="AD34" s="197"/>
      <c r="AE34" s="197"/>
      <c r="AF34" s="197"/>
      <c r="AG34" s="197"/>
      <c r="AH34" s="197"/>
      <c r="AI34" s="198"/>
    </row>
    <row r="35" spans="1:35" ht="38.25" customHeight="1" thickTop="1" thickBot="1">
      <c r="A35" s="67"/>
      <c r="B35" s="71"/>
      <c r="C35" s="72"/>
      <c r="D35" s="72"/>
      <c r="E35" s="72"/>
      <c r="F35" s="72"/>
      <c r="G35" s="72"/>
      <c r="H35" s="72"/>
      <c r="I35" s="72"/>
      <c r="J35" s="72"/>
      <c r="K35" s="73"/>
      <c r="L35" s="64"/>
      <c r="M35" s="205"/>
      <c r="N35" s="199" t="s">
        <v>559</v>
      </c>
      <c r="O35" s="200"/>
      <c r="P35" s="114"/>
      <c r="Q35" s="201" t="s">
        <v>471</v>
      </c>
      <c r="R35" s="202"/>
      <c r="S35" s="203"/>
      <c r="T35" s="201" t="s">
        <v>472</v>
      </c>
      <c r="U35" s="202"/>
      <c r="V35" s="202"/>
      <c r="W35" s="204"/>
      <c r="Y35" s="110"/>
      <c r="Z35" s="123" t="s">
        <v>560</v>
      </c>
      <c r="AA35" s="124"/>
      <c r="AB35" s="124"/>
      <c r="AC35" s="187" t="s">
        <v>492</v>
      </c>
      <c r="AD35" s="187"/>
      <c r="AE35" s="187"/>
      <c r="AF35" s="187"/>
      <c r="AG35" s="187"/>
      <c r="AH35" s="187"/>
      <c r="AI35" s="188"/>
    </row>
    <row r="36" spans="1:35" ht="38.25" customHeight="1" thickTop="1" thickBot="1">
      <c r="A36" s="67"/>
      <c r="B36" s="71"/>
      <c r="C36" s="72"/>
      <c r="D36" s="72"/>
      <c r="E36" s="72"/>
      <c r="F36" s="72"/>
      <c r="G36" s="72"/>
      <c r="H36" s="72"/>
      <c r="I36" s="72"/>
      <c r="J36" s="72"/>
      <c r="K36" s="73"/>
      <c r="L36" s="64"/>
      <c r="M36" s="205"/>
      <c r="N36" s="199" t="s">
        <v>561</v>
      </c>
      <c r="O36" s="200"/>
      <c r="P36" s="114"/>
      <c r="Q36" s="201" t="s">
        <v>471</v>
      </c>
      <c r="R36" s="202"/>
      <c r="S36" s="203"/>
      <c r="T36" s="201" t="s">
        <v>472</v>
      </c>
      <c r="U36" s="202"/>
      <c r="V36" s="202"/>
      <c r="W36" s="204"/>
      <c r="Y36" s="110"/>
      <c r="Z36" s="123" t="s">
        <v>562</v>
      </c>
      <c r="AA36" s="124"/>
      <c r="AB36" s="124"/>
      <c r="AC36" s="187"/>
      <c r="AD36" s="187"/>
      <c r="AE36" s="187"/>
      <c r="AF36" s="187" t="s">
        <v>497</v>
      </c>
      <c r="AG36" s="187"/>
      <c r="AH36" s="187"/>
      <c r="AI36" s="188"/>
    </row>
    <row r="37" spans="1:35" ht="42.75" customHeight="1" thickTop="1" thickBot="1">
      <c r="A37" s="67"/>
      <c r="B37" s="71"/>
      <c r="C37" s="72"/>
      <c r="D37" s="72"/>
      <c r="E37" s="72"/>
      <c r="F37" s="72"/>
      <c r="G37" s="72"/>
      <c r="H37" s="72"/>
      <c r="I37" s="72"/>
      <c r="J37" s="72"/>
      <c r="K37" s="73"/>
      <c r="L37" s="64"/>
      <c r="M37" s="106"/>
      <c r="N37" s="117" t="s">
        <v>563</v>
      </c>
      <c r="O37" s="118"/>
      <c r="P37" s="119"/>
      <c r="Q37" s="189" t="s">
        <v>471</v>
      </c>
      <c r="R37" s="190"/>
      <c r="S37" s="191"/>
      <c r="T37" s="189" t="s">
        <v>472</v>
      </c>
      <c r="U37" s="190"/>
      <c r="V37" s="190"/>
      <c r="W37" s="192"/>
      <c r="Y37" s="110"/>
      <c r="Z37" s="193" t="s">
        <v>564</v>
      </c>
      <c r="AA37" s="194"/>
      <c r="AB37" s="194"/>
      <c r="AC37" s="195"/>
      <c r="AD37" s="195"/>
      <c r="AE37" s="195"/>
      <c r="AF37" s="195" t="s">
        <v>497</v>
      </c>
      <c r="AG37" s="195"/>
      <c r="AH37" s="195"/>
      <c r="AI37" s="196"/>
    </row>
    <row r="38" spans="1:35" ht="43.5" customHeight="1" thickTop="1" thickBot="1">
      <c r="A38" s="67" t="s">
        <v>565</v>
      </c>
      <c r="B38" s="71" t="s">
        <v>544</v>
      </c>
      <c r="C38" s="115" t="s">
        <v>468</v>
      </c>
      <c r="D38" s="115"/>
      <c r="E38" s="115" t="s">
        <v>469</v>
      </c>
      <c r="F38" s="115"/>
      <c r="G38" s="72" t="s">
        <v>566</v>
      </c>
      <c r="H38" s="115" t="s">
        <v>468</v>
      </c>
      <c r="I38" s="115"/>
      <c r="J38" s="115"/>
      <c r="K38" s="73" t="s">
        <v>469</v>
      </c>
      <c r="L38" s="64"/>
      <c r="M38" s="65" t="s">
        <v>567</v>
      </c>
      <c r="N38" s="184" t="s">
        <v>568</v>
      </c>
      <c r="O38" s="185"/>
      <c r="P38" s="186"/>
      <c r="Q38" s="68" t="s">
        <v>471</v>
      </c>
      <c r="R38" s="68" t="s">
        <v>472</v>
      </c>
      <c r="S38" s="184" t="s">
        <v>569</v>
      </c>
      <c r="T38" s="185"/>
      <c r="U38" s="186"/>
      <c r="V38" s="68" t="s">
        <v>471</v>
      </c>
      <c r="W38" s="68" t="s">
        <v>472</v>
      </c>
      <c r="Y38" s="66" t="s">
        <v>570</v>
      </c>
      <c r="Z38" s="178" t="s">
        <v>571</v>
      </c>
      <c r="AA38" s="178"/>
      <c r="AB38" s="178"/>
      <c r="AC38" s="74" t="s">
        <v>492</v>
      </c>
      <c r="AD38" s="74"/>
      <c r="AE38" s="178" t="s">
        <v>572</v>
      </c>
      <c r="AF38" s="178"/>
      <c r="AG38" s="178"/>
      <c r="AH38" s="74" t="s">
        <v>492</v>
      </c>
      <c r="AI38" s="74"/>
    </row>
    <row r="39" spans="1:35" ht="30.75" customHeight="1" thickTop="1" thickBot="1">
      <c r="A39" s="140" t="s">
        <v>573</v>
      </c>
      <c r="B39" s="179" t="s">
        <v>574</v>
      </c>
      <c r="C39" s="180"/>
      <c r="D39" s="180" t="s">
        <v>575</v>
      </c>
      <c r="E39" s="180"/>
      <c r="F39" s="180"/>
      <c r="G39" s="180" t="s">
        <v>576</v>
      </c>
      <c r="H39" s="180"/>
      <c r="I39" s="180" t="s">
        <v>577</v>
      </c>
      <c r="J39" s="180"/>
      <c r="K39" s="181"/>
      <c r="L39" s="75"/>
      <c r="M39" s="105" t="s">
        <v>578</v>
      </c>
      <c r="N39" s="182" t="s">
        <v>579</v>
      </c>
      <c r="O39" s="183"/>
      <c r="P39" s="172" t="s">
        <v>580</v>
      </c>
      <c r="Q39" s="173"/>
      <c r="R39" s="183"/>
      <c r="S39" s="172" t="s">
        <v>581</v>
      </c>
      <c r="T39" s="183"/>
      <c r="U39" s="172" t="s">
        <v>582</v>
      </c>
      <c r="V39" s="173"/>
      <c r="W39" s="174"/>
      <c r="Y39" s="110" t="s">
        <v>583</v>
      </c>
      <c r="Z39" s="175" t="s">
        <v>584</v>
      </c>
      <c r="AA39" s="176"/>
      <c r="AB39" s="176" t="s">
        <v>585</v>
      </c>
      <c r="AC39" s="176"/>
      <c r="AD39" s="176"/>
      <c r="AE39" s="176" t="s">
        <v>203</v>
      </c>
      <c r="AF39" s="176"/>
      <c r="AG39" s="176" t="s">
        <v>586</v>
      </c>
      <c r="AH39" s="176"/>
      <c r="AI39" s="177"/>
    </row>
    <row r="40" spans="1:35" ht="150" customHeight="1" thickTop="1" thickBot="1">
      <c r="A40" s="140"/>
      <c r="B40" s="168" t="s">
        <v>587</v>
      </c>
      <c r="C40" s="169"/>
      <c r="D40" s="169" t="s">
        <v>588</v>
      </c>
      <c r="E40" s="169"/>
      <c r="F40" s="169"/>
      <c r="G40" s="169" t="s">
        <v>588</v>
      </c>
      <c r="H40" s="169"/>
      <c r="I40" s="169" t="s">
        <v>588</v>
      </c>
      <c r="J40" s="169"/>
      <c r="K40" s="170"/>
      <c r="L40" s="76"/>
      <c r="M40" s="106"/>
      <c r="N40" s="171"/>
      <c r="O40" s="161"/>
      <c r="P40" s="160"/>
      <c r="Q40" s="162"/>
      <c r="R40" s="161"/>
      <c r="S40" s="160"/>
      <c r="T40" s="161"/>
      <c r="U40" s="160"/>
      <c r="V40" s="162"/>
      <c r="W40" s="163"/>
      <c r="Y40" s="110"/>
      <c r="Z40" s="164" t="str">
        <f>'Форма-отчета 21'!E181</f>
        <v>Утилизация отходов, 
Подержка государства отрасли
Наличие сырьевой базы для производства продукции.
Замещение импорта и прочие.</v>
      </c>
      <c r="AA40" s="165"/>
      <c r="AB40" s="166" t="str">
        <f>'Форма-отчета 21'!E182</f>
        <v>Сбор отходов резины, сезонность реализации продукции</v>
      </c>
      <c r="AC40" s="165"/>
      <c r="AD40" s="165"/>
      <c r="AE40" s="166" t="str">
        <f>'Форма-отчета 21'!E183</f>
        <v>Расширение экспорта, увеличение ассортимента продукции</v>
      </c>
      <c r="AF40" s="165"/>
      <c r="AG40" s="166" t="str">
        <f>'Форма-отчета 21'!E184</f>
        <v xml:space="preserve">Высокая конкуренция на экспортных рынках, платежеспособность покупателей
</v>
      </c>
      <c r="AH40" s="165"/>
      <c r="AI40" s="167"/>
    </row>
    <row r="41" spans="1:35" ht="38.25" customHeight="1" thickTop="1" thickBot="1">
      <c r="A41" s="140" t="s">
        <v>589</v>
      </c>
      <c r="B41" s="114" t="s">
        <v>590</v>
      </c>
      <c r="C41" s="115"/>
      <c r="D41" s="115"/>
      <c r="E41" s="115"/>
      <c r="F41" s="115"/>
      <c r="G41" s="115" t="s">
        <v>591</v>
      </c>
      <c r="H41" s="115"/>
      <c r="I41" s="115"/>
      <c r="J41" s="115"/>
      <c r="K41" s="116"/>
      <c r="L41" s="64"/>
      <c r="M41" s="77" t="s">
        <v>407</v>
      </c>
      <c r="N41" s="147">
        <f>'[37]Форма-отчета 16'!E225</f>
        <v>0.10839873986813564</v>
      </c>
      <c r="O41" s="148"/>
      <c r="P41" s="148"/>
      <c r="Q41" s="148"/>
      <c r="R41" s="148"/>
      <c r="S41" s="148"/>
      <c r="T41" s="148"/>
      <c r="U41" s="148"/>
      <c r="V41" s="148"/>
      <c r="W41" s="149"/>
      <c r="Y41" s="78" t="s">
        <v>192</v>
      </c>
      <c r="Z41" s="150">
        <f>'Форма-отчета 21'!E174</f>
        <v>0.36432285730637504</v>
      </c>
      <c r="AA41" s="150"/>
      <c r="AB41" s="150"/>
      <c r="AC41" s="150"/>
      <c r="AD41" s="150"/>
      <c r="AE41" s="150"/>
      <c r="AF41" s="150"/>
      <c r="AG41" s="150"/>
      <c r="AH41" s="150"/>
      <c r="AI41" s="150"/>
    </row>
    <row r="42" spans="1:35" ht="41.25" customHeight="1" thickTop="1" thickBot="1">
      <c r="A42" s="140"/>
      <c r="B42" s="71"/>
      <c r="C42" s="72"/>
      <c r="D42" s="72"/>
      <c r="E42" s="72"/>
      <c r="F42" s="72"/>
      <c r="G42" s="72"/>
      <c r="H42" s="72"/>
      <c r="I42" s="72"/>
      <c r="J42" s="72"/>
      <c r="K42" s="73"/>
      <c r="L42" s="64"/>
      <c r="M42" s="77" t="s">
        <v>408</v>
      </c>
      <c r="N42" s="151">
        <f>'[37]Форма-отчета 16'!E226</f>
        <v>958739.36945756758</v>
      </c>
      <c r="O42" s="152"/>
      <c r="P42" s="152"/>
      <c r="Q42" s="152"/>
      <c r="R42" s="152"/>
      <c r="S42" s="152"/>
      <c r="T42" s="152"/>
      <c r="U42" s="152"/>
      <c r="V42" s="152"/>
      <c r="W42" s="153"/>
      <c r="Y42" s="78" t="s">
        <v>193</v>
      </c>
      <c r="Z42" s="154">
        <f>'Форма-отчета 21'!E175</f>
        <v>899849.04483956262</v>
      </c>
      <c r="AA42" s="155"/>
      <c r="AB42" s="155"/>
      <c r="AC42" s="155"/>
      <c r="AD42" s="155"/>
      <c r="AE42" s="155"/>
      <c r="AF42" s="155"/>
      <c r="AG42" s="155"/>
      <c r="AH42" s="155"/>
      <c r="AI42" s="155"/>
    </row>
    <row r="43" spans="1:35" ht="42" customHeight="1" thickTop="1" thickBot="1">
      <c r="A43" s="140"/>
      <c r="B43" s="71"/>
      <c r="C43" s="72"/>
      <c r="D43" s="72"/>
      <c r="E43" s="72"/>
      <c r="F43" s="72"/>
      <c r="G43" s="72"/>
      <c r="H43" s="72"/>
      <c r="I43" s="72"/>
      <c r="J43" s="72"/>
      <c r="K43" s="73"/>
      <c r="L43" s="64"/>
      <c r="M43" s="77" t="s">
        <v>409</v>
      </c>
      <c r="N43" s="156">
        <f>'[37]Форма-отчета 16'!E227</f>
        <v>1.2552798753725618</v>
      </c>
      <c r="O43" s="157"/>
      <c r="P43" s="157"/>
      <c r="Q43" s="157"/>
      <c r="R43" s="157"/>
      <c r="S43" s="157"/>
      <c r="T43" s="157"/>
      <c r="U43" s="157"/>
      <c r="V43" s="157"/>
      <c r="W43" s="158"/>
      <c r="Y43" s="78" t="s">
        <v>194</v>
      </c>
      <c r="Z43" s="159">
        <f>'Форма-отчета 21'!E176</f>
        <v>2.9271297612447271</v>
      </c>
      <c r="AA43" s="155"/>
      <c r="AB43" s="155"/>
      <c r="AC43" s="155"/>
      <c r="AD43" s="155"/>
      <c r="AE43" s="155"/>
      <c r="AF43" s="155"/>
      <c r="AG43" s="155"/>
      <c r="AH43" s="155"/>
      <c r="AI43" s="155"/>
    </row>
    <row r="44" spans="1:35" ht="42.75" customHeight="1" thickTop="1" thickBot="1">
      <c r="A44" s="140" t="s">
        <v>592</v>
      </c>
      <c r="B44" s="114" t="s">
        <v>593</v>
      </c>
      <c r="C44" s="115"/>
      <c r="D44" s="115"/>
      <c r="E44" s="115" t="s">
        <v>468</v>
      </c>
      <c r="F44" s="115"/>
      <c r="G44" s="115"/>
      <c r="H44" s="115" t="s">
        <v>469</v>
      </c>
      <c r="I44" s="115"/>
      <c r="J44" s="115"/>
      <c r="K44" s="116"/>
      <c r="L44" s="64"/>
      <c r="M44" s="141" t="s">
        <v>594</v>
      </c>
      <c r="N44" s="144" t="s">
        <v>389</v>
      </c>
      <c r="O44" s="145"/>
      <c r="P44" s="146"/>
      <c r="Q44" s="125">
        <f>'[37]Форма-отчета 16'!E216</f>
        <v>1080875</v>
      </c>
      <c r="R44" s="126"/>
      <c r="S44" s="126"/>
      <c r="T44" s="126"/>
      <c r="U44" s="126"/>
      <c r="V44" s="126"/>
      <c r="W44" s="127"/>
      <c r="Y44" s="110" t="s">
        <v>595</v>
      </c>
      <c r="Z44" s="128" t="str">
        <f>'[37]Форма-отчета 16'!D216</f>
        <v>Вклад местного инвестора (инициатора), $</v>
      </c>
      <c r="AA44" s="129"/>
      <c r="AB44" s="129"/>
      <c r="AC44" s="130">
        <f>'Форма-отчета 21'!E165</f>
        <v>248833.9657142857</v>
      </c>
      <c r="AD44" s="131"/>
      <c r="AE44" s="131"/>
      <c r="AF44" s="131"/>
      <c r="AG44" s="131"/>
      <c r="AH44" s="131"/>
      <c r="AI44" s="132"/>
    </row>
    <row r="45" spans="1:35" ht="38.25" customHeight="1" thickTop="1" thickBot="1">
      <c r="A45" s="140"/>
      <c r="B45" s="114" t="s">
        <v>596</v>
      </c>
      <c r="C45" s="115"/>
      <c r="D45" s="115"/>
      <c r="E45" s="115" t="s">
        <v>468</v>
      </c>
      <c r="F45" s="115"/>
      <c r="G45" s="115"/>
      <c r="H45" s="115" t="s">
        <v>469</v>
      </c>
      <c r="I45" s="115"/>
      <c r="J45" s="115"/>
      <c r="K45" s="116"/>
      <c r="L45" s="64"/>
      <c r="M45" s="142"/>
      <c r="N45" s="133" t="s">
        <v>390</v>
      </c>
      <c r="O45" s="134"/>
      <c r="P45" s="135"/>
      <c r="Q45" s="136">
        <f>'[37]Форма-отчета 16'!E217</f>
        <v>2183014</v>
      </c>
      <c r="R45" s="137"/>
      <c r="S45" s="137"/>
      <c r="T45" s="137"/>
      <c r="U45" s="137"/>
      <c r="V45" s="137"/>
      <c r="W45" s="138"/>
      <c r="Y45" s="110"/>
      <c r="Z45" s="139" t="str">
        <f>'[37]Форма-отчета 16'!D217</f>
        <v>Вклад иностранного инвестора, $</v>
      </c>
      <c r="AA45" s="124"/>
      <c r="AB45" s="124"/>
      <c r="AC45" s="111">
        <f>'Форма-отчета 21'!E166</f>
        <v>208966.72</v>
      </c>
      <c r="AD45" s="112"/>
      <c r="AE45" s="112"/>
      <c r="AF45" s="112"/>
      <c r="AG45" s="112"/>
      <c r="AH45" s="112"/>
      <c r="AI45" s="113"/>
    </row>
    <row r="46" spans="1:35" ht="31.5" customHeight="1" thickTop="1" thickBot="1">
      <c r="A46" s="140"/>
      <c r="B46" s="114" t="s">
        <v>597</v>
      </c>
      <c r="C46" s="115"/>
      <c r="D46" s="115"/>
      <c r="E46" s="115" t="s">
        <v>468</v>
      </c>
      <c r="F46" s="115"/>
      <c r="G46" s="115"/>
      <c r="H46" s="115" t="s">
        <v>469</v>
      </c>
      <c r="I46" s="115"/>
      <c r="J46" s="115"/>
      <c r="K46" s="116"/>
      <c r="L46" s="64"/>
      <c r="M46" s="143"/>
      <c r="N46" s="117" t="s">
        <v>598</v>
      </c>
      <c r="O46" s="118"/>
      <c r="P46" s="119"/>
      <c r="Q46" s="120">
        <f>'[37]Форма-отчета 16'!E218</f>
        <v>0</v>
      </c>
      <c r="R46" s="121"/>
      <c r="S46" s="121"/>
      <c r="T46" s="121"/>
      <c r="U46" s="121"/>
      <c r="V46" s="121"/>
      <c r="W46" s="122"/>
      <c r="Y46" s="110"/>
      <c r="Z46" s="123" t="s">
        <v>599</v>
      </c>
      <c r="AA46" s="124"/>
      <c r="AB46" s="124"/>
      <c r="AC46" s="111">
        <f>'Форма-отчета 21'!E167</f>
        <v>0</v>
      </c>
      <c r="AD46" s="112"/>
      <c r="AE46" s="112"/>
      <c r="AF46" s="112"/>
      <c r="AG46" s="112"/>
      <c r="AH46" s="112"/>
      <c r="AI46" s="113"/>
    </row>
    <row r="47" spans="1:35" ht="39" customHeight="1" thickTop="1" thickBot="1">
      <c r="A47" s="67"/>
      <c r="B47" s="71"/>
      <c r="C47" s="72"/>
      <c r="D47" s="72"/>
      <c r="E47" s="72"/>
      <c r="F47" s="72"/>
      <c r="G47" s="72"/>
      <c r="H47" s="72"/>
      <c r="I47" s="72"/>
      <c r="J47" s="72"/>
      <c r="K47" s="73"/>
      <c r="L47" s="64"/>
      <c r="M47" s="105" t="s">
        <v>226</v>
      </c>
      <c r="N47" s="107" t="s">
        <v>600</v>
      </c>
      <c r="O47" s="108"/>
      <c r="P47" s="109"/>
      <c r="Q47" s="107" t="s">
        <v>601</v>
      </c>
      <c r="R47" s="108"/>
      <c r="S47" s="109"/>
      <c r="T47" s="107" t="s">
        <v>602</v>
      </c>
      <c r="U47" s="108"/>
      <c r="V47" s="108"/>
      <c r="W47" s="109"/>
      <c r="Y47" s="110" t="s">
        <v>603</v>
      </c>
      <c r="Z47" s="89" t="s">
        <v>604</v>
      </c>
      <c r="AA47" s="90"/>
      <c r="AB47" s="91"/>
      <c r="AC47" s="89" t="s">
        <v>605</v>
      </c>
      <c r="AD47" s="90"/>
      <c r="AE47" s="91"/>
      <c r="AF47" s="92" t="s">
        <v>606</v>
      </c>
      <c r="AG47" s="90"/>
      <c r="AH47" s="90"/>
      <c r="AI47" s="91"/>
    </row>
    <row r="48" spans="1:35" ht="51" customHeight="1" thickTop="1" thickBot="1">
      <c r="A48" s="67"/>
      <c r="B48" s="71"/>
      <c r="C48" s="72"/>
      <c r="D48" s="72"/>
      <c r="E48" s="72"/>
      <c r="F48" s="72"/>
      <c r="G48" s="72"/>
      <c r="H48" s="72"/>
      <c r="I48" s="72"/>
      <c r="J48" s="72"/>
      <c r="K48" s="73"/>
      <c r="L48" s="64"/>
      <c r="M48" s="106"/>
      <c r="N48" s="79" t="s">
        <v>607</v>
      </c>
      <c r="O48" s="93" t="s">
        <v>608</v>
      </c>
      <c r="P48" s="94"/>
      <c r="Q48" s="79" t="s">
        <v>607</v>
      </c>
      <c r="R48" s="93" t="s">
        <v>609</v>
      </c>
      <c r="S48" s="94"/>
      <c r="T48" s="79" t="s">
        <v>607</v>
      </c>
      <c r="U48" s="95" t="s">
        <v>610</v>
      </c>
      <c r="V48" s="96"/>
      <c r="W48" s="97"/>
      <c r="Y48" s="110"/>
      <c r="Z48" s="80"/>
      <c r="AA48" s="98" t="s">
        <v>611</v>
      </c>
      <c r="AB48" s="99"/>
      <c r="AC48" s="80" t="s">
        <v>612</v>
      </c>
      <c r="AD48" s="100" t="s">
        <v>609</v>
      </c>
      <c r="AE48" s="101"/>
      <c r="AF48" s="102" t="s">
        <v>610</v>
      </c>
      <c r="AG48" s="103"/>
      <c r="AH48" s="103"/>
      <c r="AI48" s="104"/>
    </row>
    <row r="49" spans="1:12" ht="15" thickTop="1">
      <c r="A49" s="64"/>
      <c r="B49" s="64"/>
      <c r="C49" s="64"/>
      <c r="D49" s="64"/>
      <c r="E49" s="64"/>
      <c r="F49" s="64"/>
      <c r="G49" s="64"/>
      <c r="H49" s="64"/>
      <c r="I49" s="64"/>
      <c r="J49" s="64"/>
      <c r="K49" s="64"/>
      <c r="L49" s="64"/>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R10"/>
    <mergeCell ref="S10:U10"/>
    <mergeCell ref="Z10:AI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R23"/>
    <mergeCell ref="S23:W23"/>
    <mergeCell ref="B21:K21"/>
    <mergeCell ref="M21:M22"/>
    <mergeCell ref="N21:P21"/>
    <mergeCell ref="Q21:S21"/>
    <mergeCell ref="T21:W21"/>
    <mergeCell ref="Y23:Y24"/>
    <mergeCell ref="Z23:AI23"/>
    <mergeCell ref="B24:K24"/>
    <mergeCell ref="N24:R24"/>
    <mergeCell ref="S24:W24"/>
    <mergeCell ref="Z24:AI24"/>
    <mergeCell ref="Z21:AI21"/>
    <mergeCell ref="N22:P22"/>
    <mergeCell ref="Q22:W22"/>
    <mergeCell ref="Z22:AI22"/>
    <mergeCell ref="Y21:Y22"/>
    <mergeCell ref="A25:A30"/>
    <mergeCell ref="B25:D26"/>
    <mergeCell ref="E25:G25"/>
    <mergeCell ref="H25:K25"/>
    <mergeCell ref="M25:M30"/>
    <mergeCell ref="N25:P26"/>
    <mergeCell ref="B27:D28"/>
    <mergeCell ref="E27:G27"/>
    <mergeCell ref="H27:K27"/>
    <mergeCell ref="N27:P28"/>
    <mergeCell ref="Q25:S25"/>
    <mergeCell ref="T25:W25"/>
    <mergeCell ref="Y25:Y30"/>
    <mergeCell ref="Z25:AB26"/>
    <mergeCell ref="AC25:AI25"/>
    <mergeCell ref="E26:G26"/>
    <mergeCell ref="H26:K26"/>
    <mergeCell ref="Q26:S26"/>
    <mergeCell ref="T26:W26"/>
    <mergeCell ref="AC26:AI26"/>
    <mergeCell ref="Q27:S27"/>
    <mergeCell ref="T27:W27"/>
    <mergeCell ref="Z27:AB28"/>
    <mergeCell ref="AC27:AI27"/>
    <mergeCell ref="E28:G28"/>
    <mergeCell ref="H28:K28"/>
    <mergeCell ref="Q28:S28"/>
    <mergeCell ref="T28:W28"/>
    <mergeCell ref="AC28:AI28"/>
    <mergeCell ref="Z29:AB30"/>
    <mergeCell ref="AC29:AI29"/>
    <mergeCell ref="E30:G30"/>
    <mergeCell ref="H30:K30"/>
    <mergeCell ref="Q30:S30"/>
    <mergeCell ref="T30:W30"/>
    <mergeCell ref="AC30:AI30"/>
    <mergeCell ref="B29:D30"/>
    <mergeCell ref="E29:G29"/>
    <mergeCell ref="H29:K29"/>
    <mergeCell ref="N29:P30"/>
    <mergeCell ref="Q29:S29"/>
    <mergeCell ref="T29:W29"/>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s>
  <printOptions horizontalCentered="1" verticalCentered="1"/>
  <pageMargins left="0.31496062992125984" right="0.11811023622047245" top="0.19685039370078741" bottom="0.19685039370078741" header="0.11811023622047245" footer="0.11811023622047245"/>
  <pageSetup paperSize="9" scale="5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7D7C-8E88-4B48-B27B-8FC06B3D39A8}">
  <sheetPr>
    <pageSetUpPr fitToPage="1"/>
  </sheetPr>
  <dimension ref="A3:AJ49"/>
  <sheetViews>
    <sheetView topLeftCell="L1" zoomScale="73" zoomScaleNormal="73" workbookViewId="0">
      <selection activeCell="S86" sqref="S86"/>
    </sheetView>
  </sheetViews>
  <sheetFormatPr defaultColWidth="11.5703125" defaultRowHeight="14.25" outlineLevelCol="1"/>
  <cols>
    <col min="1" max="1" width="19.7109375" style="52" hidden="1" customWidth="1" outlineLevel="1"/>
    <col min="2" max="6" width="11.5703125" style="52" hidden="1" customWidth="1" outlineLevel="1"/>
    <col min="7" max="7" width="14" style="52" hidden="1" customWidth="1" outlineLevel="1"/>
    <col min="8" max="11" width="11.5703125" style="52" hidden="1" customWidth="1" outlineLevel="1"/>
    <col min="12" max="12" width="11.5703125" style="52" customWidth="1" collapsed="1"/>
    <col min="13" max="13" width="46.85546875" style="52" customWidth="1"/>
    <col min="14" max="14" width="17.5703125" style="52" customWidth="1"/>
    <col min="15" max="16" width="11.5703125" style="52"/>
    <col min="17" max="17" width="20.5703125" style="52" customWidth="1"/>
    <col min="18" max="18" width="12.28515625" style="52" customWidth="1"/>
    <col min="19" max="19" width="13.42578125" style="52" customWidth="1"/>
    <col min="20" max="20" width="18.42578125" style="52" customWidth="1"/>
    <col min="21" max="21" width="11.85546875" style="52" customWidth="1"/>
    <col min="22" max="22" width="11.28515625" style="52" customWidth="1"/>
    <col min="23" max="23" width="13.5703125" style="52" customWidth="1"/>
    <col min="24" max="24" width="11.5703125" style="52"/>
    <col min="25" max="25" width="30.85546875" style="52" hidden="1" customWidth="1" outlineLevel="1"/>
    <col min="26" max="26" width="14.7109375" style="52" hidden="1" customWidth="1" outlineLevel="1"/>
    <col min="27" max="28" width="0" style="52" hidden="1" customWidth="1" outlineLevel="1"/>
    <col min="29" max="29" width="15.7109375" style="52" hidden="1" customWidth="1" outlineLevel="1"/>
    <col min="30" max="30" width="13.28515625" style="52" hidden="1" customWidth="1" outlineLevel="1"/>
    <col min="31" max="31" width="17" style="52" hidden="1" customWidth="1" outlineLevel="1"/>
    <col min="32" max="32" width="14.5703125" style="52" hidden="1" customWidth="1" outlineLevel="1"/>
    <col min="33" max="33" width="13.5703125" style="52" hidden="1" customWidth="1" outlineLevel="1"/>
    <col min="34" max="34" width="11.28515625" style="52" hidden="1" customWidth="1" outlineLevel="1"/>
    <col min="35" max="35" width="11.140625" style="52" hidden="1" customWidth="1" outlineLevel="1"/>
    <col min="36" max="36" width="11.5703125" style="52" collapsed="1"/>
    <col min="37" max="16384" width="11.5703125" style="52"/>
  </cols>
  <sheetData>
    <row r="3" spans="1:35">
      <c r="J3" s="52" t="s">
        <v>450</v>
      </c>
      <c r="K3" s="52" t="s">
        <v>451</v>
      </c>
      <c r="V3" s="53" t="s">
        <v>452</v>
      </c>
      <c r="W3" s="53" t="s">
        <v>453</v>
      </c>
      <c r="AH3" s="81" t="s">
        <v>454</v>
      </c>
      <c r="AI3" s="81" t="s">
        <v>455</v>
      </c>
    </row>
    <row r="4" spans="1:35" ht="18">
      <c r="E4" s="56" t="s">
        <v>456</v>
      </c>
      <c r="F4" s="57"/>
      <c r="G4" s="57"/>
      <c r="J4" s="52" t="s">
        <v>457</v>
      </c>
      <c r="K4" s="58">
        <v>44053</v>
      </c>
      <c r="L4" s="58"/>
      <c r="P4" s="56" t="s">
        <v>456</v>
      </c>
      <c r="Q4" s="57"/>
      <c r="R4" s="57"/>
      <c r="V4" s="82" t="s">
        <v>457</v>
      </c>
      <c r="W4" s="83">
        <f>ПаспортРУС!AI4</f>
        <v>44193</v>
      </c>
      <c r="AB4" s="56" t="s">
        <v>458</v>
      </c>
      <c r="AC4" s="57"/>
      <c r="AD4" s="57"/>
      <c r="AH4" s="52" t="s">
        <v>459</v>
      </c>
      <c r="AI4" s="58">
        <v>44053</v>
      </c>
    </row>
    <row r="5" spans="1:35" ht="18">
      <c r="E5" s="56"/>
      <c r="F5" s="57"/>
      <c r="G5" s="57"/>
      <c r="P5" s="56"/>
      <c r="Q5" s="57"/>
      <c r="R5" s="57"/>
      <c r="AB5" s="56"/>
      <c r="AC5" s="57"/>
      <c r="AD5" s="57"/>
    </row>
    <row r="6" spans="1:35" ht="30">
      <c r="A6" s="258" t="s">
        <v>460</v>
      </c>
      <c r="B6" s="258"/>
      <c r="C6" s="258"/>
      <c r="D6" s="258"/>
      <c r="E6" s="258"/>
      <c r="F6" s="258"/>
      <c r="G6" s="258"/>
      <c r="H6" s="258"/>
      <c r="I6" s="258"/>
      <c r="J6" s="258"/>
      <c r="K6" s="258"/>
      <c r="L6" s="62"/>
      <c r="M6" s="365" t="s">
        <v>460</v>
      </c>
      <c r="N6" s="365"/>
      <c r="O6" s="365"/>
      <c r="P6" s="365"/>
      <c r="Q6" s="365"/>
      <c r="R6" s="365"/>
      <c r="S6" s="365"/>
      <c r="T6" s="365"/>
      <c r="U6" s="365"/>
      <c r="V6" s="365"/>
      <c r="W6" s="365"/>
      <c r="Y6" s="366" t="s">
        <v>461</v>
      </c>
      <c r="Z6" s="366"/>
      <c r="AA6" s="366"/>
      <c r="AB6" s="366"/>
      <c r="AC6" s="366"/>
      <c r="AD6" s="366"/>
      <c r="AE6" s="366"/>
      <c r="AF6" s="366"/>
      <c r="AG6" s="366"/>
      <c r="AH6" s="366"/>
      <c r="AI6" s="366"/>
    </row>
    <row r="7" spans="1:35" ht="30.75" thickBot="1">
      <c r="A7" s="258" t="str">
        <f>'[37]БП-Анг'!D3</f>
        <v>Production of orthopedic mattresses</v>
      </c>
      <c r="B7" s="258"/>
      <c r="C7" s="258"/>
      <c r="D7" s="258"/>
      <c r="E7" s="258"/>
      <c r="F7" s="258"/>
      <c r="G7" s="258"/>
      <c r="H7" s="258"/>
      <c r="I7" s="258"/>
      <c r="J7" s="258"/>
      <c r="K7" s="258"/>
      <c r="L7" s="62"/>
      <c r="M7" s="367" t="str">
        <f>'БП-Eng'!D3</f>
        <v>Processing of industrial rubber waste and production of rubber tiles</v>
      </c>
      <c r="N7" s="367"/>
      <c r="O7" s="367"/>
      <c r="P7" s="367"/>
      <c r="Q7" s="367"/>
      <c r="R7" s="367"/>
      <c r="S7" s="367"/>
      <c r="T7" s="367"/>
      <c r="U7" s="367"/>
      <c r="V7" s="367"/>
      <c r="W7" s="367"/>
      <c r="Y7" s="258" t="str">
        <f>'[37]Форма-отчета 16'!D3</f>
        <v>Производство ортопедических матрасов</v>
      </c>
      <c r="Z7" s="258"/>
      <c r="AA7" s="258"/>
      <c r="AB7" s="258"/>
      <c r="AC7" s="258"/>
      <c r="AD7" s="258"/>
      <c r="AE7" s="258"/>
      <c r="AF7" s="258"/>
      <c r="AG7" s="258"/>
      <c r="AH7" s="258"/>
      <c r="AI7" s="258"/>
    </row>
    <row r="8" spans="1:35" ht="40.5" customHeight="1" thickTop="1" thickBot="1">
      <c r="A8" s="63" t="s">
        <v>215</v>
      </c>
      <c r="B8" s="255" t="s">
        <v>462</v>
      </c>
      <c r="C8" s="256"/>
      <c r="D8" s="256"/>
      <c r="E8" s="256"/>
      <c r="F8" s="256"/>
      <c r="G8" s="256"/>
      <c r="H8" s="256"/>
      <c r="I8" s="256"/>
      <c r="J8" s="256"/>
      <c r="K8" s="257"/>
      <c r="L8" s="64"/>
      <c r="M8" s="84" t="s">
        <v>215</v>
      </c>
      <c r="N8" s="304" t="str">
        <f>'БП-Eng'!E5</f>
        <v>Recycling of industrial rubber waste and production of rubber tiles based on high quality raw materials.</v>
      </c>
      <c r="O8" s="304"/>
      <c r="P8" s="304"/>
      <c r="Q8" s="304"/>
      <c r="R8" s="304"/>
      <c r="S8" s="304"/>
      <c r="T8" s="304"/>
      <c r="U8" s="304"/>
      <c r="V8" s="304"/>
      <c r="W8" s="304"/>
      <c r="Y8" s="65" t="s">
        <v>4</v>
      </c>
      <c r="Z8" s="306" t="str">
        <f>'[37]Форма-отчета 16'!E5</f>
        <v>Создание собственного производства ортопедических матрасов в широком ассортименте в целях импортозамещения и экспорта продукции</v>
      </c>
      <c r="AA8" s="306"/>
      <c r="AB8" s="306"/>
      <c r="AC8" s="306"/>
      <c r="AD8" s="306"/>
      <c r="AE8" s="306"/>
      <c r="AF8" s="306"/>
      <c r="AG8" s="306"/>
      <c r="AH8" s="306"/>
      <c r="AI8" s="306"/>
    </row>
    <row r="9" spans="1:35" ht="26.25" customHeight="1" thickTop="1" thickBot="1">
      <c r="A9" s="67" t="s">
        <v>463</v>
      </c>
      <c r="B9" s="114" t="s">
        <v>464</v>
      </c>
      <c r="C9" s="115"/>
      <c r="D9" s="115"/>
      <c r="E9" s="115"/>
      <c r="F9" s="115"/>
      <c r="G9" s="115"/>
      <c r="H9" s="115"/>
      <c r="I9" s="115"/>
      <c r="J9" s="115"/>
      <c r="K9" s="116"/>
      <c r="L9" s="64"/>
      <c r="M9" s="84" t="s">
        <v>463</v>
      </c>
      <c r="N9" s="304" t="str">
        <f>'БП-Eng'!E12</f>
        <v>Processing of industrial rubber waste</v>
      </c>
      <c r="O9" s="304"/>
      <c r="P9" s="304"/>
      <c r="Q9" s="304"/>
      <c r="R9" s="304"/>
      <c r="S9" s="304"/>
      <c r="T9" s="304"/>
      <c r="U9" s="304"/>
      <c r="V9" s="304"/>
      <c r="W9" s="304"/>
      <c r="Y9" s="65" t="s">
        <v>465</v>
      </c>
      <c r="Z9" s="306" t="str">
        <f>'[37]Форма-отчета 16'!E6</f>
        <v>Легкая промышленность</v>
      </c>
      <c r="AA9" s="306"/>
      <c r="AB9" s="306"/>
      <c r="AC9" s="306"/>
      <c r="AD9" s="306"/>
      <c r="AE9" s="306"/>
      <c r="AF9" s="306"/>
      <c r="AG9" s="306"/>
      <c r="AH9" s="306"/>
      <c r="AI9" s="306"/>
    </row>
    <row r="10" spans="1:35" ht="34.5" customHeight="1" thickTop="1" thickBot="1">
      <c r="A10" s="67" t="s">
        <v>466</v>
      </c>
      <c r="B10" s="114" t="s">
        <v>467</v>
      </c>
      <c r="C10" s="115"/>
      <c r="D10" s="115"/>
      <c r="E10" s="115" t="s">
        <v>468</v>
      </c>
      <c r="F10" s="115"/>
      <c r="G10" s="115"/>
      <c r="H10" s="115" t="s">
        <v>469</v>
      </c>
      <c r="I10" s="115"/>
      <c r="J10" s="115"/>
      <c r="K10" s="116"/>
      <c r="L10" s="64"/>
      <c r="M10" s="84" t="s">
        <v>466</v>
      </c>
      <c r="N10" s="362">
        <f>'БП-Eng'!E10</f>
        <v>0</v>
      </c>
      <c r="O10" s="363"/>
      <c r="P10" s="363"/>
      <c r="Q10" s="363"/>
      <c r="R10" s="363"/>
      <c r="S10" s="363"/>
      <c r="T10" s="363"/>
      <c r="U10" s="363"/>
      <c r="V10" s="363"/>
      <c r="W10" s="364"/>
      <c r="Y10" s="65" t="s">
        <v>473</v>
      </c>
      <c r="Z10" s="306" t="str">
        <f>'[37]Форма-отчета 16'!E10</f>
        <v>СЭЗ "Термез", Сурхандарьинская область</v>
      </c>
      <c r="AA10" s="306"/>
      <c r="AB10" s="306"/>
      <c r="AC10" s="306"/>
      <c r="AD10" s="306"/>
      <c r="AE10" s="306" t="s">
        <v>613</v>
      </c>
      <c r="AF10" s="306"/>
      <c r="AG10" s="306"/>
      <c r="AH10" s="68" t="s">
        <v>492</v>
      </c>
      <c r="AI10" s="68" t="s">
        <v>497</v>
      </c>
    </row>
    <row r="11" spans="1:35" ht="36" customHeight="1" thickTop="1" thickBot="1">
      <c r="A11" s="67" t="s">
        <v>474</v>
      </c>
      <c r="B11" s="114"/>
      <c r="C11" s="115"/>
      <c r="D11" s="115"/>
      <c r="E11" s="115"/>
      <c r="F11" s="115"/>
      <c r="G11" s="115"/>
      <c r="H11" s="115"/>
      <c r="I11" s="115"/>
      <c r="J11" s="115"/>
      <c r="K11" s="116"/>
      <c r="L11" s="64"/>
      <c r="M11" s="84" t="s">
        <v>474</v>
      </c>
      <c r="N11" s="85" t="s">
        <v>614</v>
      </c>
      <c r="O11" s="359">
        <f>ПаспортРУС!AA11</f>
        <v>1843.2</v>
      </c>
      <c r="P11" s="360"/>
      <c r="Q11" s="360"/>
      <c r="R11" s="360"/>
      <c r="S11" s="360"/>
      <c r="T11" s="360"/>
      <c r="U11" s="360"/>
      <c r="V11" s="360"/>
      <c r="W11" s="361"/>
      <c r="Y11" s="65" t="s">
        <v>476</v>
      </c>
      <c r="Z11" s="69" t="s">
        <v>615</v>
      </c>
      <c r="AA11" s="151">
        <f>'[37]Форма-отчета 16'!E37+'[37]Форма-отчета 16'!I37+'[37]Форма-отчета 16'!L37</f>
        <v>64800</v>
      </c>
      <c r="AB11" s="152"/>
      <c r="AC11" s="152"/>
      <c r="AD11" s="152"/>
      <c r="AE11" s="152"/>
      <c r="AF11" s="152"/>
      <c r="AG11" s="152"/>
      <c r="AH11" s="152"/>
      <c r="AI11" s="153"/>
    </row>
    <row r="12" spans="1:35" ht="28.5" customHeight="1" thickTop="1" thickBot="1">
      <c r="A12" s="67" t="s">
        <v>478</v>
      </c>
      <c r="B12" s="114" t="s">
        <v>479</v>
      </c>
      <c r="C12" s="115"/>
      <c r="D12" s="115"/>
      <c r="E12" s="115"/>
      <c r="F12" s="115"/>
      <c r="G12" s="115"/>
      <c r="H12" s="115"/>
      <c r="I12" s="115"/>
      <c r="J12" s="115"/>
      <c r="K12" s="116"/>
      <c r="L12" s="64"/>
      <c r="M12" s="84" t="s">
        <v>478</v>
      </c>
      <c r="N12" s="85" t="s">
        <v>480</v>
      </c>
      <c r="O12" s="359">
        <f>ПаспортРУС!AA12</f>
        <v>457800.68571428576</v>
      </c>
      <c r="P12" s="360"/>
      <c r="Q12" s="360"/>
      <c r="R12" s="360"/>
      <c r="S12" s="360"/>
      <c r="T12" s="360"/>
      <c r="U12" s="360"/>
      <c r="V12" s="360"/>
      <c r="W12" s="361"/>
      <c r="Y12" s="65" t="s">
        <v>481</v>
      </c>
      <c r="Z12" s="69" t="s">
        <v>480</v>
      </c>
      <c r="AA12" s="151">
        <f>'[37]Форма-отчета 16'!E215</f>
        <v>3263889</v>
      </c>
      <c r="AB12" s="152"/>
      <c r="AC12" s="152"/>
      <c r="AD12" s="152"/>
      <c r="AE12" s="152"/>
      <c r="AF12" s="152"/>
      <c r="AG12" s="152"/>
      <c r="AH12" s="152"/>
      <c r="AI12" s="153"/>
    </row>
    <row r="13" spans="1:35" ht="36" customHeight="1" thickTop="1" thickBot="1">
      <c r="A13" s="67" t="s">
        <v>482</v>
      </c>
      <c r="B13" s="114" t="s">
        <v>483</v>
      </c>
      <c r="C13" s="115"/>
      <c r="D13" s="115"/>
      <c r="E13" s="115"/>
      <c r="F13" s="115"/>
      <c r="G13" s="115"/>
      <c r="H13" s="115"/>
      <c r="I13" s="115"/>
      <c r="J13" s="115"/>
      <c r="K13" s="116"/>
      <c r="L13" s="64"/>
      <c r="M13" s="84" t="s">
        <v>482</v>
      </c>
      <c r="N13" s="85" t="s">
        <v>484</v>
      </c>
      <c r="O13" s="359">
        <f>ПаспортРУС!AA13</f>
        <v>37.414176522850724</v>
      </c>
      <c r="P13" s="360"/>
      <c r="Q13" s="360"/>
      <c r="R13" s="360"/>
      <c r="S13" s="360"/>
      <c r="T13" s="360"/>
      <c r="U13" s="360"/>
      <c r="V13" s="360"/>
      <c r="W13" s="361"/>
      <c r="Y13" s="65" t="s">
        <v>485</v>
      </c>
      <c r="Z13" s="69" t="s">
        <v>486</v>
      </c>
      <c r="AA13" s="151">
        <f>'[37]Форма-отчета 16'!E224</f>
        <v>70.68500707069515</v>
      </c>
      <c r="AB13" s="152"/>
      <c r="AC13" s="152"/>
      <c r="AD13" s="152"/>
      <c r="AE13" s="152"/>
      <c r="AF13" s="152"/>
      <c r="AG13" s="152"/>
      <c r="AH13" s="152"/>
      <c r="AI13" s="153"/>
    </row>
    <row r="14" spans="1:35" ht="26.25" customHeight="1" thickTop="1" thickBot="1">
      <c r="A14" s="249" t="s">
        <v>487</v>
      </c>
      <c r="B14" s="114" t="s">
        <v>488</v>
      </c>
      <c r="C14" s="115"/>
      <c r="D14" s="115"/>
      <c r="E14" s="115"/>
      <c r="F14" s="115"/>
      <c r="G14" s="115"/>
      <c r="H14" s="115"/>
      <c r="I14" s="115"/>
      <c r="J14" s="115"/>
      <c r="K14" s="116"/>
      <c r="L14" s="64"/>
      <c r="M14" s="275" t="s">
        <v>487</v>
      </c>
      <c r="N14" s="299" t="s">
        <v>489</v>
      </c>
      <c r="O14" s="300"/>
      <c r="P14" s="300"/>
      <c r="Q14" s="337" t="s">
        <v>471</v>
      </c>
      <c r="R14" s="337"/>
      <c r="S14" s="337"/>
      <c r="T14" s="337"/>
      <c r="U14" s="337"/>
      <c r="V14" s="337"/>
      <c r="W14" s="338"/>
      <c r="Y14" s="279" t="s">
        <v>490</v>
      </c>
      <c r="Z14" s="293" t="s">
        <v>491</v>
      </c>
      <c r="AA14" s="294"/>
      <c r="AB14" s="294"/>
      <c r="AC14" s="333" t="s">
        <v>492</v>
      </c>
      <c r="AD14" s="333"/>
      <c r="AE14" s="333"/>
      <c r="AF14" s="333" t="s">
        <v>497</v>
      </c>
      <c r="AG14" s="333"/>
      <c r="AH14" s="333"/>
      <c r="AI14" s="334"/>
    </row>
    <row r="15" spans="1:35" ht="24.75" customHeight="1" thickTop="1" thickBot="1">
      <c r="A15" s="250"/>
      <c r="B15" s="71"/>
      <c r="C15" s="72"/>
      <c r="D15" s="72"/>
      <c r="E15" s="72"/>
      <c r="F15" s="72"/>
      <c r="G15" s="72"/>
      <c r="H15" s="72"/>
      <c r="I15" s="72"/>
      <c r="J15" s="72"/>
      <c r="K15" s="73"/>
      <c r="L15" s="64"/>
      <c r="M15" s="275"/>
      <c r="N15" s="283" t="s">
        <v>493</v>
      </c>
      <c r="O15" s="284"/>
      <c r="P15" s="284"/>
      <c r="Q15" s="335"/>
      <c r="R15" s="335"/>
      <c r="S15" s="335"/>
      <c r="T15" s="335" t="s">
        <v>472</v>
      </c>
      <c r="U15" s="335"/>
      <c r="V15" s="335"/>
      <c r="W15" s="336"/>
      <c r="Y15" s="279"/>
      <c r="Z15" s="288" t="s">
        <v>494</v>
      </c>
      <c r="AA15" s="115"/>
      <c r="AB15" s="115"/>
      <c r="AC15" s="324" t="s">
        <v>492</v>
      </c>
      <c r="AD15" s="324"/>
      <c r="AE15" s="324"/>
      <c r="AF15" s="324" t="s">
        <v>497</v>
      </c>
      <c r="AG15" s="324"/>
      <c r="AH15" s="324"/>
      <c r="AI15" s="325"/>
    </row>
    <row r="16" spans="1:35" ht="26.25" customHeight="1" thickTop="1" thickBot="1">
      <c r="A16" s="251"/>
      <c r="B16" s="71"/>
      <c r="C16" s="72"/>
      <c r="D16" s="72"/>
      <c r="E16" s="72"/>
      <c r="F16" s="72"/>
      <c r="G16" s="72"/>
      <c r="H16" s="72"/>
      <c r="I16" s="72"/>
      <c r="J16" s="72"/>
      <c r="K16" s="73"/>
      <c r="L16" s="64"/>
      <c r="M16" s="275"/>
      <c r="N16" s="326" t="s">
        <v>495</v>
      </c>
      <c r="O16" s="327"/>
      <c r="P16" s="327"/>
      <c r="Q16" s="328"/>
      <c r="R16" s="328"/>
      <c r="S16" s="328"/>
      <c r="T16" s="328" t="s">
        <v>472</v>
      </c>
      <c r="U16" s="328"/>
      <c r="V16" s="328"/>
      <c r="W16" s="329"/>
      <c r="Y16" s="279"/>
      <c r="Z16" s="330" t="s">
        <v>496</v>
      </c>
      <c r="AA16" s="313"/>
      <c r="AB16" s="313"/>
      <c r="AC16" s="331" t="s">
        <v>492</v>
      </c>
      <c r="AD16" s="331"/>
      <c r="AE16" s="331"/>
      <c r="AF16" s="331" t="s">
        <v>497</v>
      </c>
      <c r="AG16" s="331"/>
      <c r="AH16" s="331"/>
      <c r="AI16" s="332"/>
    </row>
    <row r="17" spans="1:35" ht="39.75" customHeight="1" thickTop="1" thickBot="1">
      <c r="A17" s="67" t="s">
        <v>498</v>
      </c>
      <c r="B17" s="114" t="s">
        <v>499</v>
      </c>
      <c r="C17" s="115"/>
      <c r="D17" s="115"/>
      <c r="E17" s="115"/>
      <c r="F17" s="115"/>
      <c r="G17" s="115"/>
      <c r="H17" s="115"/>
      <c r="I17" s="115"/>
      <c r="J17" s="115"/>
      <c r="K17" s="116"/>
      <c r="L17" s="64"/>
      <c r="M17" s="275" t="s">
        <v>500</v>
      </c>
      <c r="N17" s="299" t="s">
        <v>501</v>
      </c>
      <c r="O17" s="300"/>
      <c r="P17" s="300"/>
      <c r="Q17" s="337" t="s">
        <v>471</v>
      </c>
      <c r="R17" s="337"/>
      <c r="S17" s="337"/>
      <c r="T17" s="337"/>
      <c r="U17" s="337"/>
      <c r="V17" s="337"/>
      <c r="W17" s="338"/>
      <c r="Y17" s="279" t="s">
        <v>502</v>
      </c>
      <c r="Z17" s="293" t="s">
        <v>503</v>
      </c>
      <c r="AA17" s="294"/>
      <c r="AB17" s="294"/>
      <c r="AC17" s="333" t="s">
        <v>492</v>
      </c>
      <c r="AD17" s="333"/>
      <c r="AE17" s="333"/>
      <c r="AF17" s="333"/>
      <c r="AG17" s="333"/>
      <c r="AH17" s="333"/>
      <c r="AI17" s="334"/>
    </row>
    <row r="18" spans="1:35" ht="27" customHeight="1" thickTop="1" thickBot="1">
      <c r="A18" s="67"/>
      <c r="B18" s="71"/>
      <c r="C18" s="72"/>
      <c r="D18" s="72"/>
      <c r="E18" s="72"/>
      <c r="F18" s="72"/>
      <c r="G18" s="72"/>
      <c r="H18" s="72"/>
      <c r="I18" s="72"/>
      <c r="J18" s="72"/>
      <c r="K18" s="73"/>
      <c r="L18" s="64"/>
      <c r="M18" s="275"/>
      <c r="N18" s="283" t="s">
        <v>504</v>
      </c>
      <c r="O18" s="284"/>
      <c r="P18" s="284"/>
      <c r="Q18" s="335"/>
      <c r="R18" s="335"/>
      <c r="S18" s="335"/>
      <c r="T18" s="335" t="s">
        <v>472</v>
      </c>
      <c r="U18" s="335"/>
      <c r="V18" s="335"/>
      <c r="W18" s="336"/>
      <c r="Y18" s="279"/>
      <c r="Z18" s="288" t="s">
        <v>505</v>
      </c>
      <c r="AA18" s="115"/>
      <c r="AB18" s="115"/>
      <c r="AC18" s="324"/>
      <c r="AD18" s="324"/>
      <c r="AE18" s="324"/>
      <c r="AF18" s="324" t="s">
        <v>497</v>
      </c>
      <c r="AG18" s="324"/>
      <c r="AH18" s="324"/>
      <c r="AI18" s="325"/>
    </row>
    <row r="19" spans="1:35" ht="21.75" customHeight="1" thickTop="1" thickBot="1">
      <c r="A19" s="67"/>
      <c r="B19" s="71"/>
      <c r="C19" s="72"/>
      <c r="D19" s="72"/>
      <c r="E19" s="72"/>
      <c r="F19" s="72"/>
      <c r="G19" s="72"/>
      <c r="H19" s="72"/>
      <c r="I19" s="72"/>
      <c r="J19" s="72"/>
      <c r="K19" s="73"/>
      <c r="L19" s="64"/>
      <c r="M19" s="275"/>
      <c r="N19" s="283" t="s">
        <v>506</v>
      </c>
      <c r="O19" s="284"/>
      <c r="P19" s="284"/>
      <c r="Q19" s="335"/>
      <c r="R19" s="335"/>
      <c r="S19" s="335"/>
      <c r="T19" s="335" t="s">
        <v>472</v>
      </c>
      <c r="U19" s="335"/>
      <c r="V19" s="335"/>
      <c r="W19" s="336"/>
      <c r="Y19" s="279"/>
      <c r="Z19" s="288" t="s">
        <v>507</v>
      </c>
      <c r="AA19" s="115"/>
      <c r="AB19" s="115"/>
      <c r="AC19" s="324"/>
      <c r="AD19" s="324"/>
      <c r="AE19" s="324"/>
      <c r="AF19" s="324" t="s">
        <v>497</v>
      </c>
      <c r="AG19" s="324"/>
      <c r="AH19" s="324"/>
      <c r="AI19" s="325"/>
    </row>
    <row r="20" spans="1:35" ht="30" customHeight="1" thickTop="1" thickBot="1">
      <c r="A20" s="67"/>
      <c r="B20" s="71"/>
      <c r="C20" s="72"/>
      <c r="D20" s="72"/>
      <c r="E20" s="72"/>
      <c r="F20" s="72"/>
      <c r="G20" s="72"/>
      <c r="H20" s="72"/>
      <c r="I20" s="72"/>
      <c r="J20" s="72"/>
      <c r="K20" s="73"/>
      <c r="L20" s="64"/>
      <c r="M20" s="275"/>
      <c r="N20" s="326" t="s">
        <v>508</v>
      </c>
      <c r="O20" s="327"/>
      <c r="P20" s="327"/>
      <c r="Q20" s="328"/>
      <c r="R20" s="328"/>
      <c r="S20" s="328"/>
      <c r="T20" s="328" t="s">
        <v>472</v>
      </c>
      <c r="U20" s="328"/>
      <c r="V20" s="328"/>
      <c r="W20" s="329"/>
      <c r="Y20" s="279"/>
      <c r="Z20" s="330" t="s">
        <v>509</v>
      </c>
      <c r="AA20" s="313"/>
      <c r="AB20" s="313"/>
      <c r="AC20" s="331"/>
      <c r="AD20" s="331"/>
      <c r="AE20" s="331"/>
      <c r="AF20" s="331" t="s">
        <v>497</v>
      </c>
      <c r="AG20" s="331"/>
      <c r="AH20" s="331"/>
      <c r="AI20" s="332"/>
    </row>
    <row r="21" spans="1:35" ht="30" customHeight="1" thickTop="1" thickBot="1">
      <c r="A21" s="67" t="s">
        <v>510</v>
      </c>
      <c r="B21" s="114" t="s">
        <v>511</v>
      </c>
      <c r="C21" s="115"/>
      <c r="D21" s="115"/>
      <c r="E21" s="115"/>
      <c r="F21" s="115"/>
      <c r="G21" s="115"/>
      <c r="H21" s="115"/>
      <c r="I21" s="115"/>
      <c r="J21" s="115"/>
      <c r="K21" s="116"/>
      <c r="L21" s="64"/>
      <c r="M21" s="275" t="s">
        <v>512</v>
      </c>
      <c r="N21" s="358" t="s">
        <v>472</v>
      </c>
      <c r="O21" s="352"/>
      <c r="P21" s="352"/>
      <c r="Q21" s="352"/>
      <c r="R21" s="352"/>
      <c r="S21" s="352"/>
      <c r="T21" s="352"/>
      <c r="U21" s="352"/>
      <c r="V21" s="352"/>
      <c r="W21" s="353"/>
      <c r="Y21" s="279" t="s">
        <v>514</v>
      </c>
      <c r="Z21" s="293" t="s">
        <v>616</v>
      </c>
      <c r="AA21" s="294"/>
      <c r="AB21" s="294"/>
      <c r="AC21" s="333" t="s">
        <v>492</v>
      </c>
      <c r="AD21" s="333"/>
      <c r="AE21" s="333"/>
      <c r="AF21" s="333" t="s">
        <v>497</v>
      </c>
      <c r="AG21" s="333"/>
      <c r="AH21" s="333"/>
      <c r="AI21" s="334"/>
    </row>
    <row r="22" spans="1:35" ht="48" customHeight="1" thickTop="1" thickBot="1">
      <c r="A22" s="67"/>
      <c r="B22" s="71"/>
      <c r="C22" s="72"/>
      <c r="D22" s="72"/>
      <c r="E22" s="72"/>
      <c r="F22" s="72"/>
      <c r="G22" s="72"/>
      <c r="H22" s="72"/>
      <c r="I22" s="72"/>
      <c r="J22" s="72"/>
      <c r="K22" s="73"/>
      <c r="L22" s="64"/>
      <c r="M22" s="275"/>
      <c r="N22" s="355" t="s">
        <v>516</v>
      </c>
      <c r="O22" s="340"/>
      <c r="P22" s="340"/>
      <c r="Q22" s="340"/>
      <c r="R22" s="340"/>
      <c r="S22" s="340"/>
      <c r="T22" s="340"/>
      <c r="U22" s="340"/>
      <c r="V22" s="340"/>
      <c r="W22" s="341"/>
      <c r="Y22" s="279"/>
      <c r="Z22" s="330" t="s">
        <v>617</v>
      </c>
      <c r="AA22" s="313"/>
      <c r="AB22" s="313"/>
      <c r="AC22" s="342" t="s">
        <v>517</v>
      </c>
      <c r="AD22" s="342"/>
      <c r="AE22" s="342"/>
      <c r="AF22" s="342"/>
      <c r="AG22" s="342"/>
      <c r="AH22" s="342"/>
      <c r="AI22" s="343"/>
    </row>
    <row r="23" spans="1:35" ht="28.5" customHeight="1" thickTop="1" thickBot="1">
      <c r="A23" s="140" t="s">
        <v>518</v>
      </c>
      <c r="B23" s="114" t="s">
        <v>468</v>
      </c>
      <c r="C23" s="115"/>
      <c r="D23" s="115"/>
      <c r="E23" s="115"/>
      <c r="F23" s="115"/>
      <c r="G23" s="115" t="s">
        <v>469</v>
      </c>
      <c r="H23" s="115"/>
      <c r="I23" s="115"/>
      <c r="J23" s="115"/>
      <c r="K23" s="116"/>
      <c r="L23" s="64"/>
      <c r="M23" s="275" t="s">
        <v>519</v>
      </c>
      <c r="N23" s="358" t="s">
        <v>472</v>
      </c>
      <c r="O23" s="352"/>
      <c r="P23" s="352"/>
      <c r="Q23" s="352"/>
      <c r="R23" s="352"/>
      <c r="S23" s="352"/>
      <c r="T23" s="352"/>
      <c r="U23" s="352"/>
      <c r="V23" s="352"/>
      <c r="W23" s="353"/>
      <c r="Y23" s="279" t="s">
        <v>520</v>
      </c>
      <c r="Z23" s="354" t="s">
        <v>492</v>
      </c>
      <c r="AA23" s="333"/>
      <c r="AB23" s="333"/>
      <c r="AC23" s="333"/>
      <c r="AD23" s="333"/>
      <c r="AE23" s="333" t="s">
        <v>497</v>
      </c>
      <c r="AF23" s="333"/>
      <c r="AG23" s="333"/>
      <c r="AH23" s="333"/>
      <c r="AI23" s="334"/>
    </row>
    <row r="24" spans="1:35" ht="41.25" customHeight="1" thickTop="1" thickBot="1">
      <c r="A24" s="140"/>
      <c r="B24" s="114" t="s">
        <v>521</v>
      </c>
      <c r="C24" s="115"/>
      <c r="D24" s="115"/>
      <c r="E24" s="115"/>
      <c r="F24" s="115"/>
      <c r="G24" s="115"/>
      <c r="H24" s="115"/>
      <c r="I24" s="115"/>
      <c r="J24" s="115"/>
      <c r="K24" s="116"/>
      <c r="L24" s="64"/>
      <c r="M24" s="275"/>
      <c r="N24" s="355" t="s">
        <v>523</v>
      </c>
      <c r="O24" s="340"/>
      <c r="P24" s="340"/>
      <c r="Q24" s="340"/>
      <c r="R24" s="340"/>
      <c r="S24" s="340"/>
      <c r="T24" s="340"/>
      <c r="U24" s="340"/>
      <c r="V24" s="340"/>
      <c r="W24" s="341"/>
      <c r="Y24" s="279"/>
      <c r="Z24" s="356" t="s">
        <v>618</v>
      </c>
      <c r="AA24" s="357"/>
      <c r="AB24" s="357"/>
      <c r="AC24" s="357"/>
      <c r="AD24" s="357"/>
      <c r="AE24" s="342" t="s">
        <v>524</v>
      </c>
      <c r="AF24" s="342"/>
      <c r="AG24" s="342"/>
      <c r="AH24" s="342"/>
      <c r="AI24" s="343"/>
    </row>
    <row r="25" spans="1:35" ht="30" customHeight="1" thickTop="1" thickBot="1">
      <c r="A25" s="140" t="s">
        <v>525</v>
      </c>
      <c r="B25" s="114" t="s">
        <v>526</v>
      </c>
      <c r="C25" s="115"/>
      <c r="D25" s="115"/>
      <c r="E25" s="115" t="s">
        <v>468</v>
      </c>
      <c r="F25" s="115"/>
      <c r="G25" s="115"/>
      <c r="H25" s="115" t="s">
        <v>469</v>
      </c>
      <c r="I25" s="115"/>
      <c r="J25" s="115"/>
      <c r="K25" s="116"/>
      <c r="L25" s="64"/>
      <c r="M25" s="275" t="s">
        <v>527</v>
      </c>
      <c r="N25" s="299" t="s">
        <v>528</v>
      </c>
      <c r="O25" s="300"/>
      <c r="P25" s="300"/>
      <c r="Q25" s="351" t="s">
        <v>472</v>
      </c>
      <c r="R25" s="352"/>
      <c r="S25" s="352"/>
      <c r="T25" s="352"/>
      <c r="U25" s="352"/>
      <c r="V25" s="352"/>
      <c r="W25" s="353"/>
      <c r="Y25" s="279" t="s">
        <v>529</v>
      </c>
      <c r="Z25" s="293" t="s">
        <v>530</v>
      </c>
      <c r="AA25" s="294"/>
      <c r="AB25" s="294"/>
      <c r="AC25" s="333" t="s">
        <v>492</v>
      </c>
      <c r="AD25" s="333"/>
      <c r="AE25" s="333"/>
      <c r="AF25" s="333" t="s">
        <v>497</v>
      </c>
      <c r="AG25" s="333"/>
      <c r="AH25" s="333"/>
      <c r="AI25" s="334"/>
    </row>
    <row r="26" spans="1:35" ht="36.75" customHeight="1" thickTop="1" thickBot="1">
      <c r="A26" s="140"/>
      <c r="B26" s="114"/>
      <c r="C26" s="115"/>
      <c r="D26" s="115"/>
      <c r="E26" s="115" t="s">
        <v>531</v>
      </c>
      <c r="F26" s="115"/>
      <c r="G26" s="115"/>
      <c r="H26" s="115"/>
      <c r="I26" s="115"/>
      <c r="J26" s="115"/>
      <c r="K26" s="116"/>
      <c r="L26" s="64"/>
      <c r="M26" s="275"/>
      <c r="N26" s="283"/>
      <c r="O26" s="284"/>
      <c r="P26" s="284"/>
      <c r="Q26" s="347" t="s">
        <v>533</v>
      </c>
      <c r="R26" s="348"/>
      <c r="S26" s="348"/>
      <c r="T26" s="348"/>
      <c r="U26" s="348"/>
      <c r="V26" s="348"/>
      <c r="W26" s="349"/>
      <c r="Y26" s="279"/>
      <c r="Z26" s="288"/>
      <c r="AA26" s="115"/>
      <c r="AB26" s="115"/>
      <c r="AC26" s="115" t="s">
        <v>619</v>
      </c>
      <c r="AD26" s="115"/>
      <c r="AE26" s="115"/>
      <c r="AF26" s="115" t="s">
        <v>534</v>
      </c>
      <c r="AG26" s="115"/>
      <c r="AH26" s="115"/>
      <c r="AI26" s="350"/>
    </row>
    <row r="27" spans="1:35" ht="20.25" thickTop="1" thickBot="1">
      <c r="A27" s="140"/>
      <c r="B27" s="114" t="s">
        <v>535</v>
      </c>
      <c r="C27" s="115"/>
      <c r="D27" s="115"/>
      <c r="E27" s="115" t="s">
        <v>468</v>
      </c>
      <c r="F27" s="115"/>
      <c r="G27" s="115"/>
      <c r="H27" s="115" t="s">
        <v>469</v>
      </c>
      <c r="I27" s="115"/>
      <c r="J27" s="115"/>
      <c r="K27" s="116"/>
      <c r="L27" s="64"/>
      <c r="M27" s="275"/>
      <c r="N27" s="283" t="s">
        <v>536</v>
      </c>
      <c r="O27" s="284"/>
      <c r="P27" s="284"/>
      <c r="Q27" s="344" t="s">
        <v>472</v>
      </c>
      <c r="R27" s="345"/>
      <c r="S27" s="345"/>
      <c r="T27" s="345"/>
      <c r="U27" s="345"/>
      <c r="V27" s="345"/>
      <c r="W27" s="346"/>
      <c r="Y27" s="279"/>
      <c r="Z27" s="288" t="s">
        <v>537</v>
      </c>
      <c r="AA27" s="115"/>
      <c r="AB27" s="115"/>
      <c r="AC27" s="324" t="s">
        <v>492</v>
      </c>
      <c r="AD27" s="324"/>
      <c r="AE27" s="324"/>
      <c r="AF27" s="324" t="s">
        <v>497</v>
      </c>
      <c r="AG27" s="324"/>
      <c r="AH27" s="324"/>
      <c r="AI27" s="325"/>
    </row>
    <row r="28" spans="1:35" ht="36.75" customHeight="1" thickTop="1" thickBot="1">
      <c r="A28" s="140"/>
      <c r="B28" s="114"/>
      <c r="C28" s="115"/>
      <c r="D28" s="115"/>
      <c r="E28" s="115" t="s">
        <v>531</v>
      </c>
      <c r="F28" s="115"/>
      <c r="G28" s="115"/>
      <c r="H28" s="115"/>
      <c r="I28" s="115"/>
      <c r="J28" s="115"/>
      <c r="K28" s="116"/>
      <c r="L28" s="64"/>
      <c r="M28" s="275"/>
      <c r="N28" s="283"/>
      <c r="O28" s="284"/>
      <c r="P28" s="284"/>
      <c r="Q28" s="347" t="s">
        <v>533</v>
      </c>
      <c r="R28" s="348"/>
      <c r="S28" s="348"/>
      <c r="T28" s="348"/>
      <c r="U28" s="348"/>
      <c r="V28" s="348"/>
      <c r="W28" s="349"/>
      <c r="Y28" s="279"/>
      <c r="Z28" s="288"/>
      <c r="AA28" s="115"/>
      <c r="AB28" s="115"/>
      <c r="AC28" s="115" t="str">
        <f>AC26</f>
        <v>Если нет, что нужно?</v>
      </c>
      <c r="AD28" s="115"/>
      <c r="AE28" s="115"/>
      <c r="AF28" s="115" t="s">
        <v>534</v>
      </c>
      <c r="AG28" s="115"/>
      <c r="AH28" s="115"/>
      <c r="AI28" s="350"/>
    </row>
    <row r="29" spans="1:35" ht="20.25" thickTop="1" thickBot="1">
      <c r="A29" s="140"/>
      <c r="B29" s="114" t="s">
        <v>538</v>
      </c>
      <c r="C29" s="115"/>
      <c r="D29" s="115"/>
      <c r="E29" s="115" t="s">
        <v>468</v>
      </c>
      <c r="F29" s="115"/>
      <c r="G29" s="115"/>
      <c r="H29" s="115" t="s">
        <v>469</v>
      </c>
      <c r="I29" s="115"/>
      <c r="J29" s="115"/>
      <c r="K29" s="116"/>
      <c r="L29" s="64"/>
      <c r="M29" s="275"/>
      <c r="N29" s="283" t="s">
        <v>539</v>
      </c>
      <c r="O29" s="284"/>
      <c r="P29" s="284"/>
      <c r="Q29" s="344" t="s">
        <v>472</v>
      </c>
      <c r="R29" s="345"/>
      <c r="S29" s="345"/>
      <c r="T29" s="345"/>
      <c r="U29" s="345"/>
      <c r="V29" s="345"/>
      <c r="W29" s="346"/>
      <c r="Y29" s="279"/>
      <c r="Z29" s="288" t="s">
        <v>540</v>
      </c>
      <c r="AA29" s="115"/>
      <c r="AB29" s="115"/>
      <c r="AC29" s="324" t="s">
        <v>492</v>
      </c>
      <c r="AD29" s="324"/>
      <c r="AE29" s="324"/>
      <c r="AF29" s="324" t="s">
        <v>497</v>
      </c>
      <c r="AG29" s="324"/>
      <c r="AH29" s="324"/>
      <c r="AI29" s="325"/>
    </row>
    <row r="30" spans="1:35" ht="39.75" customHeight="1" thickTop="1" thickBot="1">
      <c r="A30" s="140"/>
      <c r="B30" s="114"/>
      <c r="C30" s="115"/>
      <c r="D30" s="115"/>
      <c r="E30" s="115" t="s">
        <v>531</v>
      </c>
      <c r="F30" s="115"/>
      <c r="G30" s="115"/>
      <c r="H30" s="115"/>
      <c r="I30" s="115"/>
      <c r="J30" s="115"/>
      <c r="K30" s="116"/>
      <c r="L30" s="64"/>
      <c r="M30" s="275"/>
      <c r="N30" s="326"/>
      <c r="O30" s="327"/>
      <c r="P30" s="327"/>
      <c r="Q30" s="339" t="s">
        <v>541</v>
      </c>
      <c r="R30" s="340"/>
      <c r="S30" s="340"/>
      <c r="T30" s="340"/>
      <c r="U30" s="340"/>
      <c r="V30" s="340"/>
      <c r="W30" s="341"/>
      <c r="Y30" s="279"/>
      <c r="Z30" s="330"/>
      <c r="AA30" s="313"/>
      <c r="AB30" s="313"/>
      <c r="AC30" s="313" t="str">
        <f>AC26</f>
        <v>Если нет, что нужно?</v>
      </c>
      <c r="AD30" s="313"/>
      <c r="AE30" s="313"/>
      <c r="AF30" s="342" t="s">
        <v>542</v>
      </c>
      <c r="AG30" s="342"/>
      <c r="AH30" s="342"/>
      <c r="AI30" s="343"/>
    </row>
    <row r="31" spans="1:35" ht="20.25" thickTop="1" thickBot="1">
      <c r="A31" s="140" t="s">
        <v>543</v>
      </c>
      <c r="B31" s="114" t="s">
        <v>544</v>
      </c>
      <c r="C31" s="115"/>
      <c r="D31" s="115"/>
      <c r="E31" s="115" t="s">
        <v>468</v>
      </c>
      <c r="F31" s="115"/>
      <c r="G31" s="115"/>
      <c r="H31" s="115" t="s">
        <v>469</v>
      </c>
      <c r="I31" s="115"/>
      <c r="J31" s="115"/>
      <c r="K31" s="116"/>
      <c r="L31" s="64"/>
      <c r="M31" s="275" t="s">
        <v>545</v>
      </c>
      <c r="N31" s="299" t="s">
        <v>546</v>
      </c>
      <c r="O31" s="300"/>
      <c r="P31" s="300"/>
      <c r="Q31" s="337" t="s">
        <v>471</v>
      </c>
      <c r="R31" s="337"/>
      <c r="S31" s="337"/>
      <c r="T31" s="337"/>
      <c r="U31" s="337"/>
      <c r="V31" s="337"/>
      <c r="W31" s="338"/>
      <c r="Y31" s="279" t="s">
        <v>547</v>
      </c>
      <c r="Z31" s="293" t="s">
        <v>548</v>
      </c>
      <c r="AA31" s="294"/>
      <c r="AB31" s="294"/>
      <c r="AC31" s="333" t="s">
        <v>492</v>
      </c>
      <c r="AD31" s="333"/>
      <c r="AE31" s="333"/>
      <c r="AF31" s="333" t="s">
        <v>497</v>
      </c>
      <c r="AG31" s="333"/>
      <c r="AH31" s="333"/>
      <c r="AI31" s="334"/>
    </row>
    <row r="32" spans="1:35" ht="20.25" thickTop="1" thickBot="1">
      <c r="A32" s="140"/>
      <c r="B32" s="114" t="s">
        <v>549</v>
      </c>
      <c r="C32" s="115"/>
      <c r="D32" s="115"/>
      <c r="E32" s="115" t="s">
        <v>468</v>
      </c>
      <c r="F32" s="115"/>
      <c r="G32" s="115"/>
      <c r="H32" s="115" t="s">
        <v>469</v>
      </c>
      <c r="I32" s="115"/>
      <c r="J32" s="115"/>
      <c r="K32" s="116"/>
      <c r="L32" s="64"/>
      <c r="M32" s="275"/>
      <c r="N32" s="283" t="s">
        <v>550</v>
      </c>
      <c r="O32" s="284"/>
      <c r="P32" s="284"/>
      <c r="Q32" s="335"/>
      <c r="R32" s="335"/>
      <c r="S32" s="335"/>
      <c r="T32" s="335" t="s">
        <v>472</v>
      </c>
      <c r="U32" s="335"/>
      <c r="V32" s="335"/>
      <c r="W32" s="336"/>
      <c r="Y32" s="279"/>
      <c r="Z32" s="288" t="s">
        <v>551</v>
      </c>
      <c r="AA32" s="115"/>
      <c r="AB32" s="115"/>
      <c r="AC32" s="324" t="s">
        <v>492</v>
      </c>
      <c r="AD32" s="324"/>
      <c r="AE32" s="324"/>
      <c r="AF32" s="324" t="s">
        <v>497</v>
      </c>
      <c r="AG32" s="324"/>
      <c r="AH32" s="324"/>
      <c r="AI32" s="325"/>
    </row>
    <row r="33" spans="1:35" ht="39.75" customHeight="1" thickTop="1" thickBot="1">
      <c r="A33" s="140"/>
      <c r="B33" s="114" t="s">
        <v>552</v>
      </c>
      <c r="C33" s="115"/>
      <c r="D33" s="115"/>
      <c r="E33" s="115" t="s">
        <v>468</v>
      </c>
      <c r="F33" s="115"/>
      <c r="G33" s="115"/>
      <c r="H33" s="115" t="s">
        <v>469</v>
      </c>
      <c r="I33" s="115"/>
      <c r="J33" s="115"/>
      <c r="K33" s="116"/>
      <c r="L33" s="64"/>
      <c r="M33" s="275"/>
      <c r="N33" s="326" t="s">
        <v>553</v>
      </c>
      <c r="O33" s="327"/>
      <c r="P33" s="327"/>
      <c r="Q33" s="328" t="s">
        <v>471</v>
      </c>
      <c r="R33" s="328"/>
      <c r="S33" s="328"/>
      <c r="T33" s="328"/>
      <c r="U33" s="328"/>
      <c r="V33" s="328"/>
      <c r="W33" s="329"/>
      <c r="Y33" s="279"/>
      <c r="Z33" s="330" t="s">
        <v>554</v>
      </c>
      <c r="AA33" s="313"/>
      <c r="AB33" s="313"/>
      <c r="AC33" s="331" t="s">
        <v>492</v>
      </c>
      <c r="AD33" s="331"/>
      <c r="AE33" s="331"/>
      <c r="AF33" s="331" t="s">
        <v>497</v>
      </c>
      <c r="AG33" s="331"/>
      <c r="AH33" s="331"/>
      <c r="AI33" s="332"/>
    </row>
    <row r="34" spans="1:35" ht="30" customHeight="1" thickTop="1" thickBot="1">
      <c r="A34" s="67"/>
      <c r="B34" s="71"/>
      <c r="C34" s="72"/>
      <c r="D34" s="72"/>
      <c r="E34" s="72"/>
      <c r="F34" s="72"/>
      <c r="G34" s="72"/>
      <c r="H34" s="72"/>
      <c r="I34" s="72"/>
      <c r="J34" s="72"/>
      <c r="K34" s="73"/>
      <c r="L34" s="64"/>
      <c r="M34" s="275" t="s">
        <v>555</v>
      </c>
      <c r="N34" s="299" t="s">
        <v>556</v>
      </c>
      <c r="O34" s="300"/>
      <c r="P34" s="300"/>
      <c r="Q34" s="337" t="s">
        <v>471</v>
      </c>
      <c r="R34" s="337"/>
      <c r="S34" s="337"/>
      <c r="T34" s="337"/>
      <c r="U34" s="337"/>
      <c r="V34" s="337"/>
      <c r="W34" s="338"/>
      <c r="Y34" s="279" t="s">
        <v>557</v>
      </c>
      <c r="Z34" s="293" t="s">
        <v>558</v>
      </c>
      <c r="AA34" s="294"/>
      <c r="AB34" s="294"/>
      <c r="AC34" s="333" t="s">
        <v>492</v>
      </c>
      <c r="AD34" s="333"/>
      <c r="AE34" s="333"/>
      <c r="AF34" s="333" t="s">
        <v>497</v>
      </c>
      <c r="AG34" s="333"/>
      <c r="AH34" s="333"/>
      <c r="AI34" s="334"/>
    </row>
    <row r="35" spans="1:35" ht="44.25" customHeight="1" thickTop="1" thickBot="1">
      <c r="A35" s="67"/>
      <c r="B35" s="71"/>
      <c r="C35" s="72"/>
      <c r="D35" s="72"/>
      <c r="E35" s="72"/>
      <c r="F35" s="72"/>
      <c r="G35" s="72"/>
      <c r="H35" s="72"/>
      <c r="I35" s="72"/>
      <c r="J35" s="72"/>
      <c r="K35" s="73"/>
      <c r="L35" s="64"/>
      <c r="M35" s="275"/>
      <c r="N35" s="283" t="s">
        <v>559</v>
      </c>
      <c r="O35" s="284"/>
      <c r="P35" s="284"/>
      <c r="Q35" s="335" t="s">
        <v>471</v>
      </c>
      <c r="R35" s="335"/>
      <c r="S35" s="335"/>
      <c r="T35" s="335"/>
      <c r="U35" s="335"/>
      <c r="V35" s="335"/>
      <c r="W35" s="336"/>
      <c r="Y35" s="279"/>
      <c r="Z35" s="288" t="s">
        <v>560</v>
      </c>
      <c r="AA35" s="115"/>
      <c r="AB35" s="115"/>
      <c r="AC35" s="324" t="s">
        <v>492</v>
      </c>
      <c r="AD35" s="324"/>
      <c r="AE35" s="324"/>
      <c r="AF35" s="324" t="s">
        <v>497</v>
      </c>
      <c r="AG35" s="324"/>
      <c r="AH35" s="324"/>
      <c r="AI35" s="325"/>
    </row>
    <row r="36" spans="1:35" ht="30" customHeight="1" thickTop="1" thickBot="1">
      <c r="A36" s="67"/>
      <c r="B36" s="71"/>
      <c r="C36" s="72"/>
      <c r="D36" s="72"/>
      <c r="E36" s="72"/>
      <c r="F36" s="72"/>
      <c r="G36" s="72"/>
      <c r="H36" s="72"/>
      <c r="I36" s="72"/>
      <c r="J36" s="72"/>
      <c r="K36" s="73"/>
      <c r="L36" s="64"/>
      <c r="M36" s="275"/>
      <c r="N36" s="283" t="s">
        <v>561</v>
      </c>
      <c r="O36" s="284"/>
      <c r="P36" s="284"/>
      <c r="Q36" s="335"/>
      <c r="R36" s="335"/>
      <c r="S36" s="335"/>
      <c r="T36" s="335" t="s">
        <v>472</v>
      </c>
      <c r="U36" s="335"/>
      <c r="V36" s="335"/>
      <c r="W36" s="336"/>
      <c r="Y36" s="279"/>
      <c r="Z36" s="288" t="s">
        <v>562</v>
      </c>
      <c r="AA36" s="115"/>
      <c r="AB36" s="115"/>
      <c r="AC36" s="324" t="s">
        <v>492</v>
      </c>
      <c r="AD36" s="324"/>
      <c r="AE36" s="324"/>
      <c r="AF36" s="324" t="s">
        <v>497</v>
      </c>
      <c r="AG36" s="324"/>
      <c r="AH36" s="324"/>
      <c r="AI36" s="325"/>
    </row>
    <row r="37" spans="1:35" ht="44.25" customHeight="1" thickTop="1" thickBot="1">
      <c r="A37" s="67"/>
      <c r="B37" s="71"/>
      <c r="C37" s="72"/>
      <c r="D37" s="72"/>
      <c r="E37" s="72"/>
      <c r="F37" s="72"/>
      <c r="G37" s="72"/>
      <c r="H37" s="72"/>
      <c r="I37" s="72"/>
      <c r="J37" s="72"/>
      <c r="K37" s="73"/>
      <c r="L37" s="64"/>
      <c r="M37" s="275"/>
      <c r="N37" s="326" t="s">
        <v>563</v>
      </c>
      <c r="O37" s="327"/>
      <c r="P37" s="327"/>
      <c r="Q37" s="328"/>
      <c r="R37" s="328"/>
      <c r="S37" s="328"/>
      <c r="T37" s="328" t="s">
        <v>472</v>
      </c>
      <c r="U37" s="328"/>
      <c r="V37" s="328"/>
      <c r="W37" s="329"/>
      <c r="Y37" s="279"/>
      <c r="Z37" s="330" t="s">
        <v>564</v>
      </c>
      <c r="AA37" s="313"/>
      <c r="AB37" s="313"/>
      <c r="AC37" s="331" t="s">
        <v>492</v>
      </c>
      <c r="AD37" s="331"/>
      <c r="AE37" s="331"/>
      <c r="AF37" s="331" t="s">
        <v>497</v>
      </c>
      <c r="AG37" s="331"/>
      <c r="AH37" s="331"/>
      <c r="AI37" s="332"/>
    </row>
    <row r="38" spans="1:35" ht="43.5" customHeight="1" thickTop="1" thickBot="1">
      <c r="A38" s="67" t="s">
        <v>565</v>
      </c>
      <c r="B38" s="71" t="s">
        <v>544</v>
      </c>
      <c r="C38" s="115" t="s">
        <v>468</v>
      </c>
      <c r="D38" s="115"/>
      <c r="E38" s="115" t="s">
        <v>469</v>
      </c>
      <c r="F38" s="115"/>
      <c r="G38" s="72" t="s">
        <v>566</v>
      </c>
      <c r="H38" s="115" t="s">
        <v>468</v>
      </c>
      <c r="I38" s="115"/>
      <c r="J38" s="115"/>
      <c r="K38" s="73" t="s">
        <v>469</v>
      </c>
      <c r="L38" s="64"/>
      <c r="M38" s="84" t="s">
        <v>567</v>
      </c>
      <c r="N38" s="323" t="s">
        <v>568</v>
      </c>
      <c r="O38" s="323"/>
      <c r="P38" s="323"/>
      <c r="Q38" s="86" t="s">
        <v>471</v>
      </c>
      <c r="R38" s="86"/>
      <c r="S38" s="323" t="s">
        <v>569</v>
      </c>
      <c r="T38" s="323"/>
      <c r="U38" s="323"/>
      <c r="V38" s="86" t="s">
        <v>471</v>
      </c>
      <c r="W38" s="86"/>
      <c r="Y38" s="65" t="s">
        <v>570</v>
      </c>
      <c r="Z38" s="306" t="s">
        <v>571</v>
      </c>
      <c r="AA38" s="306"/>
      <c r="AB38" s="306"/>
      <c r="AC38" s="68" t="s">
        <v>492</v>
      </c>
      <c r="AD38" s="68" t="s">
        <v>497</v>
      </c>
      <c r="AE38" s="306" t="s">
        <v>572</v>
      </c>
      <c r="AF38" s="306"/>
      <c r="AG38" s="306"/>
      <c r="AH38" s="68" t="s">
        <v>492</v>
      </c>
      <c r="AI38" s="68" t="s">
        <v>497</v>
      </c>
    </row>
    <row r="39" spans="1:35" ht="30.75" customHeight="1" thickTop="1" thickBot="1">
      <c r="A39" s="140" t="s">
        <v>573</v>
      </c>
      <c r="B39" s="179" t="s">
        <v>574</v>
      </c>
      <c r="C39" s="180"/>
      <c r="D39" s="180" t="s">
        <v>575</v>
      </c>
      <c r="E39" s="180"/>
      <c r="F39" s="180"/>
      <c r="G39" s="180" t="s">
        <v>576</v>
      </c>
      <c r="H39" s="180"/>
      <c r="I39" s="180" t="s">
        <v>577</v>
      </c>
      <c r="J39" s="180"/>
      <c r="K39" s="181"/>
      <c r="L39" s="75"/>
      <c r="M39" s="275" t="s">
        <v>578</v>
      </c>
      <c r="N39" s="322" t="s">
        <v>579</v>
      </c>
      <c r="O39" s="317"/>
      <c r="P39" s="317" t="s">
        <v>580</v>
      </c>
      <c r="Q39" s="317"/>
      <c r="R39" s="317"/>
      <c r="S39" s="317" t="s">
        <v>581</v>
      </c>
      <c r="T39" s="317"/>
      <c r="U39" s="317" t="s">
        <v>582</v>
      </c>
      <c r="V39" s="317"/>
      <c r="W39" s="318"/>
      <c r="Y39" s="279" t="s">
        <v>583</v>
      </c>
      <c r="Z39" s="319" t="s">
        <v>584</v>
      </c>
      <c r="AA39" s="320"/>
      <c r="AB39" s="320" t="s">
        <v>585</v>
      </c>
      <c r="AC39" s="320"/>
      <c r="AD39" s="320"/>
      <c r="AE39" s="320" t="s">
        <v>203</v>
      </c>
      <c r="AF39" s="320"/>
      <c r="AG39" s="320" t="s">
        <v>586</v>
      </c>
      <c r="AH39" s="320"/>
      <c r="AI39" s="321"/>
    </row>
    <row r="40" spans="1:35" ht="178.5" customHeight="1" thickTop="1" thickBot="1">
      <c r="A40" s="140"/>
      <c r="B40" s="168" t="s">
        <v>587</v>
      </c>
      <c r="C40" s="169"/>
      <c r="D40" s="169" t="s">
        <v>588</v>
      </c>
      <c r="E40" s="169"/>
      <c r="F40" s="169"/>
      <c r="G40" s="169" t="s">
        <v>588</v>
      </c>
      <c r="H40" s="169"/>
      <c r="I40" s="169" t="s">
        <v>588</v>
      </c>
      <c r="J40" s="169"/>
      <c r="K40" s="170"/>
      <c r="L40" s="76"/>
      <c r="M40" s="275"/>
      <c r="N40" s="316" t="str">
        <f>'БП-Eng'!E181</f>
        <v xml:space="preserve">Waste rubber recycling,
State support for the industry
Availability of a raw material base for production.
Import substitution and others.
</v>
      </c>
      <c r="O40" s="310"/>
      <c r="P40" s="309" t="str">
        <f>'БП-Eng'!E182</f>
        <v xml:space="preserve">Seasonality of the project,
</v>
      </c>
      <c r="Q40" s="310"/>
      <c r="R40" s="310"/>
      <c r="S40" s="309" t="str">
        <f>'БП-Eng'!E183</f>
        <v xml:space="preserve">Expanding exports, increasing the range of products
</v>
      </c>
      <c r="T40" s="310"/>
      <c r="U40" s="309" t="str">
        <f>'БП-Eng'!E185</f>
        <v>It is necessary to find a voluntary project initiator with sufficient equity capital in the form of a building, construction work, payment for a part of auxiliary equipment, stock of raw materials and design and estimate documentation</v>
      </c>
      <c r="V40" s="310"/>
      <c r="W40" s="311"/>
      <c r="Y40" s="279"/>
      <c r="Z40" s="312" t="str">
        <f>'[37]Форма-отчета 16'!E232</f>
        <v xml:space="preserve">Продукция имеет достаточный спрос, 
Привлечение новой передовой технологии, 
Подержка государства по льготам СЭЗ и др.  </v>
      </c>
      <c r="AA40" s="313"/>
      <c r="AB40" s="314" t="str">
        <f>'[37]Форма-отчета 16'!E233</f>
        <v>Требуется квалифицированный персонал, 
Отсутствие дизайнеров и технических инженеров и др.</v>
      </c>
      <c r="AC40" s="313"/>
      <c r="AD40" s="313"/>
      <c r="AE40" s="314" t="str">
        <f>'[37]Форма-отчета 16'!E234</f>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
      <c r="AF40" s="313"/>
      <c r="AG40" s="314" t="str">
        <f>'[37]Форма-отчета 16'!E235</f>
        <v>Частичная импортная зависимость, 
Наличие конкурентов импортеров продукции высокого качества</v>
      </c>
      <c r="AH40" s="313"/>
      <c r="AI40" s="315"/>
    </row>
    <row r="41" spans="1:35" ht="41.25" customHeight="1" thickTop="1" thickBot="1">
      <c r="A41" s="140" t="s">
        <v>589</v>
      </c>
      <c r="B41" s="114" t="s">
        <v>590</v>
      </c>
      <c r="C41" s="115"/>
      <c r="D41" s="115"/>
      <c r="E41" s="115"/>
      <c r="F41" s="115"/>
      <c r="G41" s="115" t="s">
        <v>591</v>
      </c>
      <c r="H41" s="115"/>
      <c r="I41" s="115"/>
      <c r="J41" s="115"/>
      <c r="K41" s="116"/>
      <c r="L41" s="64"/>
      <c r="M41" s="87" t="s">
        <v>407</v>
      </c>
      <c r="N41" s="301">
        <f>ПаспортРУС!Z41</f>
        <v>0.36432285730637504</v>
      </c>
      <c r="O41" s="301"/>
      <c r="P41" s="301"/>
      <c r="Q41" s="301"/>
      <c r="R41" s="301"/>
      <c r="S41" s="301"/>
      <c r="T41" s="301"/>
      <c r="U41" s="301"/>
      <c r="V41" s="301"/>
      <c r="W41" s="301"/>
      <c r="Y41" s="77" t="s">
        <v>192</v>
      </c>
      <c r="Z41" s="302">
        <f>'[37]Форма-отчета 16'!E225</f>
        <v>0.10839873986813564</v>
      </c>
      <c r="AA41" s="302"/>
      <c r="AB41" s="302"/>
      <c r="AC41" s="302"/>
      <c r="AD41" s="302"/>
      <c r="AE41" s="302"/>
      <c r="AF41" s="302"/>
      <c r="AG41" s="302"/>
      <c r="AH41" s="302"/>
      <c r="AI41" s="302"/>
    </row>
    <row r="42" spans="1:35" ht="41.25" customHeight="1" thickTop="1" thickBot="1">
      <c r="A42" s="140"/>
      <c r="B42" s="71"/>
      <c r="C42" s="72"/>
      <c r="D42" s="72"/>
      <c r="E42" s="72"/>
      <c r="F42" s="72"/>
      <c r="G42" s="72"/>
      <c r="H42" s="72"/>
      <c r="I42" s="72"/>
      <c r="J42" s="72"/>
      <c r="K42" s="73"/>
      <c r="L42" s="64"/>
      <c r="M42" s="87" t="s">
        <v>408</v>
      </c>
      <c r="N42" s="303">
        <f>ПаспортРУС!Z42</f>
        <v>899849.04483956262</v>
      </c>
      <c r="O42" s="304"/>
      <c r="P42" s="304"/>
      <c r="Q42" s="304"/>
      <c r="R42" s="304"/>
      <c r="S42" s="304"/>
      <c r="T42" s="304"/>
      <c r="U42" s="304"/>
      <c r="V42" s="304"/>
      <c r="W42" s="304"/>
      <c r="Y42" s="77" t="s">
        <v>193</v>
      </c>
      <c r="Z42" s="305">
        <f>'[37]Форма-отчета 16'!E226</f>
        <v>958739.36945756758</v>
      </c>
      <c r="AA42" s="306"/>
      <c r="AB42" s="306"/>
      <c r="AC42" s="306"/>
      <c r="AD42" s="306"/>
      <c r="AE42" s="306"/>
      <c r="AF42" s="306"/>
      <c r="AG42" s="306"/>
      <c r="AH42" s="306"/>
      <c r="AI42" s="306"/>
    </row>
    <row r="43" spans="1:35" ht="42" customHeight="1" thickTop="1" thickBot="1">
      <c r="A43" s="140"/>
      <c r="B43" s="71"/>
      <c r="C43" s="72"/>
      <c r="D43" s="72"/>
      <c r="E43" s="72"/>
      <c r="F43" s="72"/>
      <c r="G43" s="72"/>
      <c r="H43" s="72"/>
      <c r="I43" s="72"/>
      <c r="J43" s="72"/>
      <c r="K43" s="73"/>
      <c r="L43" s="64"/>
      <c r="M43" s="87" t="s">
        <v>409</v>
      </c>
      <c r="N43" s="307">
        <f>ПаспортРУС!Z43</f>
        <v>2.9271297612447271</v>
      </c>
      <c r="O43" s="304"/>
      <c r="P43" s="304"/>
      <c r="Q43" s="304"/>
      <c r="R43" s="304"/>
      <c r="S43" s="304"/>
      <c r="T43" s="304"/>
      <c r="U43" s="304"/>
      <c r="V43" s="304"/>
      <c r="W43" s="304"/>
      <c r="Y43" s="77" t="s">
        <v>194</v>
      </c>
      <c r="Z43" s="308">
        <f>'[37]Форма-отчета 16'!E227</f>
        <v>1.2552798753725618</v>
      </c>
      <c r="AA43" s="306"/>
      <c r="AB43" s="306"/>
      <c r="AC43" s="306"/>
      <c r="AD43" s="306"/>
      <c r="AE43" s="306"/>
      <c r="AF43" s="306"/>
      <c r="AG43" s="306"/>
      <c r="AH43" s="306"/>
      <c r="AI43" s="306"/>
    </row>
    <row r="44" spans="1:35" ht="42.75" customHeight="1" thickTop="1" thickBot="1">
      <c r="A44" s="140" t="s">
        <v>592</v>
      </c>
      <c r="B44" s="114" t="s">
        <v>593</v>
      </c>
      <c r="C44" s="115"/>
      <c r="D44" s="115"/>
      <c r="E44" s="115" t="s">
        <v>468</v>
      </c>
      <c r="F44" s="115"/>
      <c r="G44" s="115"/>
      <c r="H44" s="115" t="s">
        <v>469</v>
      </c>
      <c r="I44" s="115"/>
      <c r="J44" s="115"/>
      <c r="K44" s="116"/>
      <c r="L44" s="64"/>
      <c r="M44" s="298" t="s">
        <v>594</v>
      </c>
      <c r="N44" s="299" t="s">
        <v>389</v>
      </c>
      <c r="O44" s="300"/>
      <c r="P44" s="300"/>
      <c r="Q44" s="289">
        <f>ПаспортРУС!AC44</f>
        <v>248833.9657142857</v>
      </c>
      <c r="R44" s="290"/>
      <c r="S44" s="290"/>
      <c r="T44" s="290"/>
      <c r="U44" s="290"/>
      <c r="V44" s="290"/>
      <c r="W44" s="291"/>
      <c r="Y44" s="292" t="s">
        <v>595</v>
      </c>
      <c r="Z44" s="293" t="str">
        <f>'[37]Форма-отчета 16'!D216</f>
        <v>Вклад местного инвестора (инициатора), $</v>
      </c>
      <c r="AA44" s="294"/>
      <c r="AB44" s="294"/>
      <c r="AC44" s="295">
        <f>'[37]Форма-отчета 16'!E216</f>
        <v>1080875</v>
      </c>
      <c r="AD44" s="263"/>
      <c r="AE44" s="263"/>
      <c r="AF44" s="263"/>
      <c r="AG44" s="263"/>
      <c r="AH44" s="263"/>
      <c r="AI44" s="264"/>
    </row>
    <row r="45" spans="1:35" ht="33" customHeight="1" thickTop="1" thickBot="1">
      <c r="A45" s="140"/>
      <c r="B45" s="114" t="s">
        <v>596</v>
      </c>
      <c r="C45" s="115"/>
      <c r="D45" s="115"/>
      <c r="E45" s="115" t="s">
        <v>468</v>
      </c>
      <c r="F45" s="115"/>
      <c r="G45" s="115"/>
      <c r="H45" s="115" t="s">
        <v>469</v>
      </c>
      <c r="I45" s="115"/>
      <c r="J45" s="115"/>
      <c r="K45" s="116"/>
      <c r="L45" s="64"/>
      <c r="M45" s="298"/>
      <c r="N45" s="296" t="s">
        <v>390</v>
      </c>
      <c r="O45" s="284"/>
      <c r="P45" s="284"/>
      <c r="Q45" s="285">
        <f>ПаспортРУС!AC45</f>
        <v>208966.72</v>
      </c>
      <c r="R45" s="286"/>
      <c r="S45" s="286"/>
      <c r="T45" s="286"/>
      <c r="U45" s="286"/>
      <c r="V45" s="286"/>
      <c r="W45" s="287"/>
      <c r="Y45" s="292"/>
      <c r="Z45" s="297" t="str">
        <f>'[37]Форма-отчета 16'!D217</f>
        <v>Вклад иностранного инвестора, $</v>
      </c>
      <c r="AA45" s="115"/>
      <c r="AB45" s="115"/>
      <c r="AC45" s="280">
        <f>'[37]Форма-отчета 16'!E217</f>
        <v>2183014</v>
      </c>
      <c r="AD45" s="281"/>
      <c r="AE45" s="281"/>
      <c r="AF45" s="281"/>
      <c r="AG45" s="281"/>
      <c r="AH45" s="281"/>
      <c r="AI45" s="282"/>
    </row>
    <row r="46" spans="1:35" ht="31.5" customHeight="1" thickTop="1" thickBot="1">
      <c r="A46" s="140"/>
      <c r="B46" s="114" t="s">
        <v>597</v>
      </c>
      <c r="C46" s="115"/>
      <c r="D46" s="115"/>
      <c r="E46" s="115" t="s">
        <v>468</v>
      </c>
      <c r="F46" s="115"/>
      <c r="G46" s="115"/>
      <c r="H46" s="115" t="s">
        <v>469</v>
      </c>
      <c r="I46" s="115"/>
      <c r="J46" s="115"/>
      <c r="K46" s="116"/>
      <c r="L46" s="64"/>
      <c r="M46" s="298"/>
      <c r="N46" s="283" t="s">
        <v>598</v>
      </c>
      <c r="O46" s="284"/>
      <c r="P46" s="284"/>
      <c r="Q46" s="285">
        <f>ПаспортРУС!AC46</f>
        <v>0</v>
      </c>
      <c r="R46" s="286"/>
      <c r="S46" s="286"/>
      <c r="T46" s="286"/>
      <c r="U46" s="286"/>
      <c r="V46" s="286"/>
      <c r="W46" s="287"/>
      <c r="Y46" s="292"/>
      <c r="Z46" s="288" t="s">
        <v>599</v>
      </c>
      <c r="AA46" s="115"/>
      <c r="AB46" s="115"/>
      <c r="AC46" s="280">
        <f>'[37]Форма-отчета 16'!E218</f>
        <v>0</v>
      </c>
      <c r="AD46" s="281"/>
      <c r="AE46" s="281"/>
      <c r="AF46" s="281"/>
      <c r="AG46" s="281"/>
      <c r="AH46" s="281"/>
      <c r="AI46" s="282"/>
    </row>
    <row r="47" spans="1:35" ht="39" customHeight="1" thickTop="1" thickBot="1">
      <c r="A47" s="67"/>
      <c r="B47" s="71"/>
      <c r="C47" s="72"/>
      <c r="D47" s="72"/>
      <c r="E47" s="72"/>
      <c r="F47" s="72"/>
      <c r="G47" s="72"/>
      <c r="H47" s="72"/>
      <c r="I47" s="72"/>
      <c r="J47" s="72"/>
      <c r="K47" s="73"/>
      <c r="L47" s="64"/>
      <c r="M47" s="275" t="s">
        <v>226</v>
      </c>
      <c r="N47" s="276" t="s">
        <v>620</v>
      </c>
      <c r="O47" s="277"/>
      <c r="P47" s="278"/>
      <c r="Q47" s="276" t="s">
        <v>601</v>
      </c>
      <c r="R47" s="277"/>
      <c r="S47" s="278"/>
      <c r="T47" s="276" t="s">
        <v>602</v>
      </c>
      <c r="U47" s="277"/>
      <c r="V47" s="277"/>
      <c r="W47" s="278"/>
      <c r="Y47" s="279" t="s">
        <v>603</v>
      </c>
      <c r="Z47" s="262" t="s">
        <v>604</v>
      </c>
      <c r="AA47" s="263"/>
      <c r="AB47" s="264"/>
      <c r="AC47" s="262" t="s">
        <v>605</v>
      </c>
      <c r="AD47" s="263"/>
      <c r="AE47" s="264"/>
      <c r="AF47" s="265" t="s">
        <v>606</v>
      </c>
      <c r="AG47" s="263"/>
      <c r="AH47" s="263"/>
      <c r="AI47" s="264"/>
    </row>
    <row r="48" spans="1:35" ht="54.75" customHeight="1" thickTop="1" thickBot="1">
      <c r="A48" s="67"/>
      <c r="B48" s="71"/>
      <c r="C48" s="72"/>
      <c r="D48" s="72"/>
      <c r="E48" s="72"/>
      <c r="F48" s="72"/>
      <c r="G48" s="72"/>
      <c r="H48" s="72"/>
      <c r="I48" s="72"/>
      <c r="J48" s="72"/>
      <c r="K48" s="73"/>
      <c r="L48" s="64"/>
      <c r="M48" s="275"/>
      <c r="N48" s="88" t="s">
        <v>621</v>
      </c>
      <c r="O48" s="266" t="s">
        <v>608</v>
      </c>
      <c r="P48" s="267"/>
      <c r="Q48" s="88" t="str">
        <f>ПаспортРУС!AC48</f>
        <v>J. Urinov</v>
      </c>
      <c r="R48" s="266" t="s">
        <v>609</v>
      </c>
      <c r="S48" s="267"/>
      <c r="T48" s="268" t="s">
        <v>610</v>
      </c>
      <c r="U48" s="269"/>
      <c r="V48" s="269"/>
      <c r="W48" s="270"/>
      <c r="Y48" s="279"/>
      <c r="Z48" s="79" t="s">
        <v>607</v>
      </c>
      <c r="AA48" s="271" t="s">
        <v>608</v>
      </c>
      <c r="AB48" s="272"/>
      <c r="AC48" s="79" t="s">
        <v>607</v>
      </c>
      <c r="AD48" s="271" t="s">
        <v>609</v>
      </c>
      <c r="AE48" s="272"/>
      <c r="AF48" s="79" t="s">
        <v>607</v>
      </c>
      <c r="AG48" s="273" t="s">
        <v>610</v>
      </c>
      <c r="AH48" s="273"/>
      <c r="AI48" s="274"/>
    </row>
    <row r="49" spans="1:12" ht="15" thickTop="1">
      <c r="A49" s="64"/>
      <c r="B49" s="64"/>
      <c r="C49" s="64"/>
      <c r="D49" s="64"/>
      <c r="E49" s="64"/>
      <c r="F49" s="64"/>
      <c r="G49" s="64"/>
      <c r="H49" s="64"/>
      <c r="I49" s="64"/>
      <c r="J49" s="64"/>
      <c r="K49" s="64"/>
      <c r="L49" s="64"/>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W10"/>
    <mergeCell ref="Z10:AD10"/>
    <mergeCell ref="AE10:AG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W23"/>
    <mergeCell ref="Y23:Y24"/>
    <mergeCell ref="B21:K21"/>
    <mergeCell ref="M21:M22"/>
    <mergeCell ref="N21:W21"/>
    <mergeCell ref="Y21:Y22"/>
    <mergeCell ref="Z23:AD23"/>
    <mergeCell ref="AE23:AI23"/>
    <mergeCell ref="B24:K24"/>
    <mergeCell ref="N24:W24"/>
    <mergeCell ref="Z24:AD24"/>
    <mergeCell ref="AE24:AI24"/>
    <mergeCell ref="AF21:AI21"/>
    <mergeCell ref="N22:W22"/>
    <mergeCell ref="Z22:AB22"/>
    <mergeCell ref="AC22:AI22"/>
    <mergeCell ref="Z21:AB21"/>
    <mergeCell ref="AC21:AE21"/>
    <mergeCell ref="A25:A30"/>
    <mergeCell ref="B25:D26"/>
    <mergeCell ref="E25:G25"/>
    <mergeCell ref="H25:K25"/>
    <mergeCell ref="M25:M30"/>
    <mergeCell ref="N25:P26"/>
    <mergeCell ref="B27:D28"/>
    <mergeCell ref="E27:G27"/>
    <mergeCell ref="H27:K27"/>
    <mergeCell ref="N27:P28"/>
    <mergeCell ref="Q25:W25"/>
    <mergeCell ref="Y25:Y30"/>
    <mergeCell ref="Z25:AB26"/>
    <mergeCell ref="AC25:AE25"/>
    <mergeCell ref="AF25:AI25"/>
    <mergeCell ref="E26:G26"/>
    <mergeCell ref="H26:K26"/>
    <mergeCell ref="Q26:W26"/>
    <mergeCell ref="AC26:AE26"/>
    <mergeCell ref="AF26:AI26"/>
    <mergeCell ref="Q27:W27"/>
    <mergeCell ref="Z27:AB28"/>
    <mergeCell ref="AC27:AE27"/>
    <mergeCell ref="AF27:AI27"/>
    <mergeCell ref="E28:G28"/>
    <mergeCell ref="H28:K28"/>
    <mergeCell ref="Q28:W28"/>
    <mergeCell ref="AC28:AE28"/>
    <mergeCell ref="AF28:AI28"/>
    <mergeCell ref="AC29:AE29"/>
    <mergeCell ref="AF29:AI29"/>
    <mergeCell ref="E30:G30"/>
    <mergeCell ref="H30:K30"/>
    <mergeCell ref="Q30:W30"/>
    <mergeCell ref="AC30:AE30"/>
    <mergeCell ref="AF30:AI30"/>
    <mergeCell ref="B29:D30"/>
    <mergeCell ref="E29:G29"/>
    <mergeCell ref="H29:K29"/>
    <mergeCell ref="N29:P30"/>
    <mergeCell ref="Q29:W29"/>
    <mergeCell ref="Z29:AB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s>
  <printOptions horizontalCentered="1" verticalCentered="1"/>
  <pageMargins left="0.11811023622047245" right="0.31496062992125984" top="0.59055118110236227" bottom="0.59055118110236227" header="0.31496062992125984" footer="0.11811023622047245"/>
  <pageSetup paperSize="9"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5288B-1525-4700-B8E8-D4DDB2F62846}">
  <sheetPr>
    <pageSetUpPr fitToPage="1"/>
  </sheetPr>
  <dimension ref="C1:Y204"/>
  <sheetViews>
    <sheetView showGridLines="0" topLeftCell="D164" zoomScale="85" zoomScaleNormal="85" workbookViewId="0">
      <selection activeCell="S86" sqref="S86"/>
    </sheetView>
  </sheetViews>
  <sheetFormatPr defaultRowHeight="12.75" outlineLevelRow="1"/>
  <cols>
    <col min="1" max="2" width="9.140625" style="3"/>
    <col min="3" max="3" width="9.42578125" style="1" customWidth="1"/>
    <col min="4" max="4" width="71" style="3" customWidth="1"/>
    <col min="5" max="5" width="18.140625" style="3" customWidth="1"/>
    <col min="6" max="6" width="16.42578125" style="3" customWidth="1"/>
    <col min="7" max="7" width="16.28515625" style="3" customWidth="1"/>
    <col min="8" max="8" width="18.85546875" style="3" customWidth="1"/>
    <col min="9" max="9" width="15.85546875" style="3" customWidth="1"/>
    <col min="10" max="10" width="18.140625" style="3" customWidth="1"/>
    <col min="11" max="11" width="13.42578125" style="3" customWidth="1"/>
    <col min="12" max="12" width="14.42578125" style="3" customWidth="1"/>
    <col min="13" max="13" width="13.85546875" style="3" customWidth="1"/>
    <col min="14" max="14" width="15" style="3" customWidth="1"/>
    <col min="15" max="18" width="9.140625" style="3"/>
    <col min="19" max="19" width="13.140625" style="3" bestFit="1" customWidth="1"/>
    <col min="20" max="16384" width="9.140625" style="3"/>
  </cols>
  <sheetData>
    <row r="1" spans="3:25" ht="32.25" customHeight="1">
      <c r="D1" s="2"/>
      <c r="E1" s="2"/>
      <c r="F1" s="2"/>
      <c r="G1" s="2"/>
      <c r="H1" s="2"/>
      <c r="I1" s="2"/>
      <c r="J1" s="2"/>
      <c r="K1" s="2"/>
      <c r="L1" s="2"/>
      <c r="M1" s="2"/>
      <c r="N1" s="2"/>
      <c r="P1" s="3" t="s">
        <v>0</v>
      </c>
      <c r="Q1" s="4">
        <f>[38]Input1!I2</f>
        <v>10500</v>
      </c>
    </row>
    <row r="2" spans="3:25" ht="30.75">
      <c r="D2" s="452" t="s">
        <v>1</v>
      </c>
      <c r="E2" s="452"/>
      <c r="F2" s="452"/>
      <c r="G2" s="452"/>
      <c r="H2" s="452"/>
      <c r="I2" s="452"/>
      <c r="J2" s="452"/>
      <c r="K2" s="452"/>
      <c r="L2" s="452"/>
      <c r="M2" s="452"/>
      <c r="N2" s="452"/>
    </row>
    <row r="3" spans="3:25" ht="33" customHeight="1">
      <c r="C3" s="5"/>
      <c r="D3" s="453" t="s">
        <v>2</v>
      </c>
      <c r="E3" s="453"/>
      <c r="F3" s="453"/>
      <c r="G3" s="453"/>
      <c r="H3" s="453"/>
      <c r="I3" s="453"/>
      <c r="J3" s="453"/>
      <c r="K3" s="453"/>
      <c r="L3" s="453"/>
      <c r="M3" s="453"/>
      <c r="N3" s="453"/>
    </row>
    <row r="4" spans="3:25" ht="34.5" customHeight="1">
      <c r="C4" s="377">
        <v>1</v>
      </c>
      <c r="D4" s="378" t="s">
        <v>3</v>
      </c>
      <c r="E4" s="378"/>
      <c r="F4" s="378"/>
      <c r="G4" s="378"/>
      <c r="H4" s="378"/>
      <c r="I4" s="378"/>
      <c r="J4" s="378"/>
      <c r="K4" s="378"/>
      <c r="L4" s="378"/>
      <c r="M4" s="378"/>
      <c r="N4" s="378"/>
    </row>
    <row r="5" spans="3:25" ht="57.75" customHeight="1">
      <c r="C5" s="377"/>
      <c r="D5" s="6" t="s">
        <v>4</v>
      </c>
      <c r="E5" s="454" t="s">
        <v>5</v>
      </c>
      <c r="F5" s="454"/>
      <c r="G5" s="454"/>
      <c r="H5" s="454"/>
      <c r="I5" s="454"/>
      <c r="J5" s="454"/>
      <c r="K5" s="454"/>
      <c r="L5" s="454"/>
      <c r="M5" s="454"/>
      <c r="N5" s="454"/>
    </row>
    <row r="6" spans="3:25" ht="21.75" customHeight="1">
      <c r="C6" s="377"/>
      <c r="D6" s="6" t="s">
        <v>6</v>
      </c>
      <c r="E6" s="455">
        <f>E150</f>
        <v>457800.68571428576</v>
      </c>
      <c r="F6" s="455"/>
      <c r="G6" s="455"/>
      <c r="H6" s="455"/>
      <c r="I6" s="455"/>
      <c r="J6" s="455"/>
      <c r="K6" s="455"/>
      <c r="L6" s="455"/>
      <c r="M6" s="455"/>
      <c r="N6" s="455"/>
    </row>
    <row r="7" spans="3:25" ht="21.75" customHeight="1">
      <c r="C7" s="377"/>
      <c r="D7" s="6" t="s">
        <v>7</v>
      </c>
      <c r="E7" s="455">
        <f>E39</f>
        <v>999365.48571428587</v>
      </c>
      <c r="F7" s="455"/>
      <c r="G7" s="455"/>
      <c r="H7" s="455"/>
      <c r="I7" s="455"/>
      <c r="J7" s="455"/>
      <c r="K7" s="455"/>
      <c r="L7" s="455"/>
      <c r="M7" s="455"/>
      <c r="N7" s="455"/>
    </row>
    <row r="8" spans="3:25" ht="16.5" customHeight="1">
      <c r="C8" s="377"/>
      <c r="D8" s="6" t="s">
        <v>8</v>
      </c>
      <c r="E8" s="455">
        <f>E90+J90</f>
        <v>89553779.761904776</v>
      </c>
      <c r="F8" s="455"/>
      <c r="G8" s="455"/>
      <c r="H8" s="455"/>
      <c r="I8" s="455"/>
      <c r="J8" s="455"/>
      <c r="K8" s="455"/>
      <c r="L8" s="455"/>
      <c r="M8" s="455"/>
      <c r="N8" s="455"/>
    </row>
    <row r="9" spans="3:25" ht="16.5" customHeight="1">
      <c r="C9" s="377"/>
      <c r="D9" s="6" t="str">
        <f>D173</f>
        <v>Срок окупаемости (DPP) (месяц)</v>
      </c>
      <c r="E9" s="375">
        <f>E173</f>
        <v>37.414176522850724</v>
      </c>
      <c r="F9" s="375"/>
      <c r="G9" s="375"/>
      <c r="H9" s="375"/>
      <c r="I9" s="375"/>
      <c r="J9" s="375"/>
      <c r="K9" s="375"/>
      <c r="L9" s="375"/>
      <c r="M9" s="375"/>
      <c r="N9" s="375"/>
    </row>
    <row r="10" spans="3:25" ht="29.25" customHeight="1">
      <c r="C10" s="377"/>
      <c r="D10" s="6" t="s">
        <v>9</v>
      </c>
      <c r="E10" s="382" t="s">
        <v>10</v>
      </c>
      <c r="F10" s="382"/>
      <c r="G10" s="382"/>
      <c r="H10" s="382"/>
      <c r="I10" s="382"/>
      <c r="J10" s="382"/>
      <c r="K10" s="382"/>
      <c r="L10" s="382"/>
      <c r="M10" s="382"/>
      <c r="N10" s="382"/>
    </row>
    <row r="11" spans="3:25" ht="18" hidden="1" outlineLevel="1">
      <c r="C11" s="377"/>
      <c r="D11" s="6" t="s">
        <v>11</v>
      </c>
      <c r="E11" s="382"/>
      <c r="F11" s="382"/>
      <c r="G11" s="382"/>
      <c r="H11" s="382"/>
      <c r="I11" s="382"/>
      <c r="J11" s="382"/>
      <c r="K11" s="382"/>
      <c r="L11" s="382"/>
      <c r="M11" s="382"/>
      <c r="N11" s="382"/>
    </row>
    <row r="12" spans="3:25" ht="18" hidden="1" outlineLevel="1">
      <c r="C12" s="377"/>
      <c r="D12" s="7" t="s">
        <v>12</v>
      </c>
      <c r="E12" s="382" t="s">
        <v>2</v>
      </c>
      <c r="F12" s="382"/>
      <c r="G12" s="382"/>
      <c r="H12" s="382"/>
      <c r="I12" s="382"/>
      <c r="J12" s="382"/>
      <c r="K12" s="382"/>
      <c r="L12" s="382"/>
      <c r="M12" s="382"/>
      <c r="N12" s="382"/>
      <c r="X12"/>
      <c r="Y12"/>
    </row>
    <row r="13" spans="3:25" ht="18" hidden="1" outlineLevel="1">
      <c r="C13" s="377"/>
      <c r="D13" s="7" t="s">
        <v>13</v>
      </c>
      <c r="E13" s="382"/>
      <c r="F13" s="382"/>
      <c r="G13" s="382"/>
      <c r="H13" s="382"/>
      <c r="I13" s="382"/>
      <c r="J13" s="382"/>
      <c r="K13" s="382"/>
      <c r="L13" s="382"/>
      <c r="M13" s="382"/>
      <c r="N13" s="382"/>
    </row>
    <row r="14" spans="3:25" ht="18" hidden="1" outlineLevel="1">
      <c r="C14" s="377"/>
      <c r="D14" s="7" t="s">
        <v>14</v>
      </c>
      <c r="E14" s="382"/>
      <c r="F14" s="382"/>
      <c r="G14" s="382"/>
      <c r="H14" s="382"/>
      <c r="I14" s="382"/>
      <c r="J14" s="382"/>
      <c r="K14" s="382"/>
      <c r="L14" s="382"/>
      <c r="M14" s="382"/>
      <c r="N14" s="382"/>
    </row>
    <row r="15" spans="3:25" ht="18" hidden="1" outlineLevel="1">
      <c r="C15" s="377"/>
      <c r="D15" s="7" t="s">
        <v>15</v>
      </c>
      <c r="E15" s="382" t="s">
        <v>16</v>
      </c>
      <c r="F15" s="382"/>
      <c r="G15" s="382"/>
      <c r="H15" s="382"/>
      <c r="I15" s="382"/>
      <c r="J15" s="382"/>
      <c r="K15" s="382"/>
      <c r="L15" s="382"/>
      <c r="M15" s="382"/>
      <c r="N15" s="382"/>
    </row>
    <row r="16" spans="3:25" ht="18" hidden="1" outlineLevel="1">
      <c r="C16" s="377"/>
      <c r="D16" s="8" t="s">
        <v>17</v>
      </c>
      <c r="E16" s="382" t="s">
        <v>16</v>
      </c>
      <c r="F16" s="382"/>
      <c r="G16" s="382"/>
      <c r="H16" s="382"/>
      <c r="I16" s="382"/>
      <c r="J16" s="382"/>
      <c r="K16" s="382"/>
      <c r="L16" s="382"/>
      <c r="M16" s="382"/>
      <c r="N16" s="382"/>
    </row>
    <row r="17" spans="3:25" ht="18" hidden="1" outlineLevel="1">
      <c r="C17" s="377"/>
      <c r="D17" s="8" t="s">
        <v>18</v>
      </c>
      <c r="E17" s="382" t="s">
        <v>16</v>
      </c>
      <c r="F17" s="382"/>
      <c r="G17" s="382"/>
      <c r="H17" s="382"/>
      <c r="I17" s="382"/>
      <c r="J17" s="382"/>
      <c r="K17" s="382"/>
      <c r="L17" s="382"/>
      <c r="M17" s="382"/>
      <c r="N17" s="382"/>
    </row>
    <row r="18" spans="3:25" ht="18" hidden="1" outlineLevel="1">
      <c r="C18" s="377"/>
      <c r="D18" s="8" t="s">
        <v>19</v>
      </c>
      <c r="E18" s="382" t="s">
        <v>16</v>
      </c>
      <c r="F18" s="382"/>
      <c r="G18" s="382"/>
      <c r="H18" s="382"/>
      <c r="I18" s="382"/>
      <c r="J18" s="382"/>
      <c r="K18" s="382"/>
      <c r="L18" s="382"/>
      <c r="M18" s="382"/>
      <c r="N18" s="382"/>
    </row>
    <row r="19" spans="3:25" ht="28.5" hidden="1" outlineLevel="1">
      <c r="C19" s="377"/>
      <c r="D19" s="8" t="s">
        <v>20</v>
      </c>
      <c r="E19" s="382" t="s">
        <v>16</v>
      </c>
      <c r="F19" s="382"/>
      <c r="G19" s="382"/>
      <c r="H19" s="382"/>
      <c r="I19" s="382"/>
      <c r="J19" s="382"/>
      <c r="K19" s="382"/>
      <c r="L19" s="382"/>
      <c r="M19" s="382"/>
      <c r="N19" s="382"/>
    </row>
    <row r="20" spans="3:25" ht="18" hidden="1" outlineLevel="1">
      <c r="C20" s="377"/>
      <c r="D20" s="8" t="s">
        <v>21</v>
      </c>
      <c r="E20" s="382" t="s">
        <v>16</v>
      </c>
      <c r="F20" s="382"/>
      <c r="G20" s="382"/>
      <c r="H20" s="382"/>
      <c r="I20" s="382"/>
      <c r="J20" s="382"/>
      <c r="K20" s="382"/>
      <c r="L20" s="382"/>
      <c r="M20" s="382"/>
      <c r="N20" s="382"/>
    </row>
    <row r="21" spans="3:25" ht="18" hidden="1" outlineLevel="1">
      <c r="C21" s="377"/>
      <c r="D21" s="6"/>
      <c r="E21" s="382"/>
      <c r="F21" s="382"/>
      <c r="G21" s="382"/>
      <c r="H21" s="382"/>
      <c r="I21" s="382"/>
      <c r="J21" s="382"/>
      <c r="K21" s="382"/>
      <c r="L21" s="382"/>
      <c r="M21" s="382"/>
      <c r="N21" s="382"/>
    </row>
    <row r="22" spans="3:25" ht="35.25" customHeight="1" collapsed="1">
      <c r="C22" s="377">
        <v>2</v>
      </c>
      <c r="D22" s="378" t="s">
        <v>22</v>
      </c>
      <c r="E22" s="378"/>
      <c r="F22" s="378"/>
      <c r="G22" s="378"/>
      <c r="H22" s="378"/>
      <c r="I22" s="378"/>
      <c r="J22" s="378"/>
      <c r="K22" s="378"/>
      <c r="L22" s="378"/>
      <c r="M22" s="378"/>
      <c r="N22" s="378"/>
      <c r="P22"/>
      <c r="X22"/>
      <c r="Y22"/>
    </row>
    <row r="23" spans="3:25" ht="21" customHeight="1">
      <c r="C23" s="377"/>
      <c r="D23" s="386" t="s">
        <v>23</v>
      </c>
      <c r="E23" s="386"/>
      <c r="F23" s="386"/>
      <c r="G23" s="386"/>
      <c r="H23" s="386"/>
      <c r="I23" s="386"/>
      <c r="J23" s="386"/>
      <c r="K23" s="386"/>
      <c r="L23" s="386"/>
      <c r="M23" s="386"/>
      <c r="N23" s="386"/>
    </row>
    <row r="24" spans="3:25" ht="69.75" customHeight="1">
      <c r="C24" s="377"/>
      <c r="D24" s="9" t="s">
        <v>24</v>
      </c>
      <c r="E24" s="449" t="s">
        <v>25</v>
      </c>
      <c r="F24" s="450"/>
      <c r="G24" s="450"/>
      <c r="H24" s="450"/>
      <c r="I24" s="451"/>
      <c r="J24" s="449" t="s">
        <v>26</v>
      </c>
      <c r="K24" s="450"/>
      <c r="L24" s="450"/>
      <c r="M24" s="450"/>
      <c r="N24" s="451"/>
    </row>
    <row r="25" spans="3:25" ht="235.5" customHeight="1">
      <c r="C25" s="377"/>
      <c r="D25" s="6" t="s">
        <v>27</v>
      </c>
      <c r="E25" s="439"/>
      <c r="F25" s="440"/>
      <c r="G25" s="440"/>
      <c r="H25" s="440"/>
      <c r="I25" s="441"/>
      <c r="J25" s="439"/>
      <c r="K25" s="440"/>
      <c r="L25" s="440"/>
      <c r="M25" s="440"/>
      <c r="N25" s="441"/>
      <c r="S25"/>
    </row>
    <row r="26" spans="3:25" ht="116.25" customHeight="1">
      <c r="C26" s="377"/>
      <c r="D26" s="386" t="s">
        <v>28</v>
      </c>
      <c r="E26" s="429" t="s">
        <v>29</v>
      </c>
      <c r="F26" s="429"/>
      <c r="G26" s="429"/>
      <c r="H26" s="429"/>
      <c r="I26" s="429"/>
      <c r="J26" s="429"/>
      <c r="K26" s="429"/>
      <c r="L26" s="429"/>
      <c r="M26" s="429"/>
      <c r="N26" s="429"/>
    </row>
    <row r="27" spans="3:25" ht="84" customHeight="1">
      <c r="C27" s="377"/>
      <c r="D27" s="386"/>
      <c r="E27" s="442" t="s">
        <v>30</v>
      </c>
      <c r="F27" s="443"/>
      <c r="G27" s="443"/>
      <c r="H27" s="443"/>
      <c r="I27" s="443"/>
      <c r="J27" s="443"/>
      <c r="K27" s="443"/>
      <c r="L27" s="443"/>
      <c r="M27" s="443"/>
      <c r="N27" s="444"/>
    </row>
    <row r="28" spans="3:25" ht="66.75" customHeight="1">
      <c r="C28" s="377"/>
      <c r="D28" s="386"/>
      <c r="E28" s="445"/>
      <c r="F28" s="446"/>
      <c r="G28" s="446"/>
      <c r="H28" s="446"/>
      <c r="I28" s="446"/>
      <c r="J28" s="446"/>
      <c r="K28" s="446"/>
      <c r="L28" s="446"/>
      <c r="M28" s="446"/>
      <c r="N28" s="447"/>
    </row>
    <row r="29" spans="3:25" ht="127.5" customHeight="1">
      <c r="C29" s="377"/>
      <c r="D29" s="8" t="s">
        <v>31</v>
      </c>
      <c r="E29" s="448" t="s">
        <v>32</v>
      </c>
      <c r="F29" s="382"/>
      <c r="G29" s="382"/>
      <c r="H29" s="382"/>
      <c r="I29" s="382"/>
      <c r="J29" s="382"/>
      <c r="K29" s="382"/>
      <c r="L29" s="382"/>
      <c r="M29" s="382"/>
      <c r="N29" s="382"/>
    </row>
    <row r="30" spans="3:25" ht="46.5" customHeight="1">
      <c r="C30" s="377"/>
      <c r="D30" s="8" t="s">
        <v>33</v>
      </c>
      <c r="E30" s="382" t="s">
        <v>34</v>
      </c>
      <c r="F30" s="382"/>
      <c r="G30" s="382"/>
      <c r="H30" s="382"/>
      <c r="I30" s="382"/>
      <c r="J30" s="382"/>
      <c r="K30" s="382"/>
      <c r="L30" s="382"/>
      <c r="M30" s="382"/>
      <c r="N30" s="382"/>
    </row>
    <row r="31" spans="3:25" ht="53.25" customHeight="1">
      <c r="C31" s="377"/>
      <c r="D31" s="8" t="s">
        <v>35</v>
      </c>
      <c r="E31" s="434" t="s">
        <v>36</v>
      </c>
      <c r="F31" s="435"/>
      <c r="G31" s="435"/>
      <c r="H31" s="435"/>
      <c r="I31" s="435"/>
      <c r="J31" s="435"/>
      <c r="K31" s="435"/>
      <c r="L31" s="435"/>
      <c r="M31" s="435"/>
      <c r="N31" s="435"/>
    </row>
    <row r="32" spans="3:25" ht="22.5" hidden="1" customHeight="1" outlineLevel="1">
      <c r="C32" s="377"/>
      <c r="D32" s="8" t="s">
        <v>37</v>
      </c>
      <c r="E32" s="398"/>
      <c r="F32" s="399"/>
      <c r="G32" s="399"/>
      <c r="H32" s="399"/>
      <c r="I32" s="399"/>
      <c r="J32" s="399"/>
      <c r="K32" s="399"/>
      <c r="L32" s="399"/>
      <c r="M32" s="399"/>
      <c r="N32" s="400"/>
    </row>
    <row r="33" spans="3:16" ht="35.25" customHeight="1" collapsed="1">
      <c r="C33" s="377"/>
      <c r="D33" s="6" t="s">
        <v>38</v>
      </c>
      <c r="E33" s="386" t="s">
        <v>39</v>
      </c>
      <c r="F33" s="386"/>
      <c r="G33" s="386"/>
      <c r="H33" s="386"/>
      <c r="I33" s="386"/>
      <c r="J33" s="386"/>
      <c r="K33" s="386"/>
      <c r="L33" s="386"/>
      <c r="M33" s="386"/>
      <c r="N33" s="386"/>
    </row>
    <row r="34" spans="3:16" ht="30">
      <c r="C34" s="377"/>
      <c r="D34" s="6" t="s">
        <v>40</v>
      </c>
      <c r="E34" s="436">
        <f>[38]Лист1!P61/10500</f>
        <v>0.54761904761904767</v>
      </c>
      <c r="F34" s="437"/>
      <c r="G34" s="437"/>
      <c r="H34" s="437"/>
      <c r="I34" s="438"/>
      <c r="J34" s="436">
        <f>[38]Лист1!M11/10500</f>
        <v>13.419047619047619</v>
      </c>
      <c r="K34" s="437"/>
      <c r="L34" s="437"/>
      <c r="M34" s="437"/>
      <c r="N34" s="438"/>
    </row>
    <row r="35" spans="3:16" ht="18">
      <c r="C35" s="377"/>
      <c r="D35" s="6" t="s">
        <v>41</v>
      </c>
      <c r="E35" s="398">
        <f>[38]Лист1!P476/1000</f>
        <v>1843.2</v>
      </c>
      <c r="F35" s="399"/>
      <c r="G35" s="399"/>
      <c r="H35" s="399"/>
      <c r="I35" s="399"/>
      <c r="J35" s="399"/>
      <c r="K35" s="399"/>
      <c r="L35" s="399"/>
      <c r="M35" s="399"/>
      <c r="N35" s="400"/>
    </row>
    <row r="36" spans="3:16" ht="35.25" customHeight="1">
      <c r="C36" s="377"/>
      <c r="D36" s="6" t="s">
        <v>42</v>
      </c>
      <c r="E36" s="407">
        <f>E35*0.5</f>
        <v>921.6</v>
      </c>
      <c r="F36" s="408"/>
      <c r="G36" s="408"/>
      <c r="H36" s="408"/>
      <c r="I36" s="409"/>
      <c r="J36" s="407">
        <f>E35*0.5/0.025*1*1</f>
        <v>36864</v>
      </c>
      <c r="K36" s="408"/>
      <c r="L36" s="408"/>
      <c r="M36" s="408"/>
      <c r="N36" s="409"/>
    </row>
    <row r="37" spans="3:16" ht="22.5" hidden="1" customHeight="1" outlineLevel="1">
      <c r="C37" s="377"/>
      <c r="D37" s="6" t="s">
        <v>42</v>
      </c>
      <c r="E37" s="423"/>
      <c r="F37" s="424"/>
      <c r="G37" s="424"/>
      <c r="H37" s="424"/>
      <c r="I37" s="425"/>
      <c r="J37" s="426"/>
      <c r="K37" s="427"/>
      <c r="L37" s="427"/>
      <c r="M37" s="427"/>
      <c r="N37" s="428"/>
    </row>
    <row r="38" spans="3:16" ht="24.75" customHeight="1" collapsed="1">
      <c r="C38" s="377"/>
      <c r="D38" s="429" t="s">
        <v>7</v>
      </c>
      <c r="E38" s="430">
        <f>E36*E34*1000</f>
        <v>504685.71428571438</v>
      </c>
      <c r="F38" s="431"/>
      <c r="G38" s="431"/>
      <c r="H38" s="431"/>
      <c r="I38" s="432"/>
      <c r="J38" s="430">
        <f>J36*J34</f>
        <v>494679.77142857143</v>
      </c>
      <c r="K38" s="431"/>
      <c r="L38" s="431"/>
      <c r="M38" s="431"/>
      <c r="N38" s="432"/>
    </row>
    <row r="39" spans="3:16" ht="23.25" customHeight="1">
      <c r="C39" s="377"/>
      <c r="D39" s="429"/>
      <c r="E39" s="433">
        <f>E38+H38+J38</f>
        <v>999365.48571428587</v>
      </c>
      <c r="F39" s="433"/>
      <c r="G39" s="433"/>
      <c r="H39" s="433"/>
      <c r="I39" s="433"/>
      <c r="J39" s="433"/>
      <c r="K39" s="433"/>
      <c r="L39" s="433"/>
      <c r="M39" s="433"/>
      <c r="N39" s="433"/>
    </row>
    <row r="40" spans="3:16" ht="34.5" customHeight="1">
      <c r="C40" s="377">
        <v>3</v>
      </c>
      <c r="D40" s="378" t="s">
        <v>43</v>
      </c>
      <c r="E40" s="378"/>
      <c r="F40" s="378"/>
      <c r="G40" s="378"/>
      <c r="H40" s="378"/>
      <c r="I40" s="378"/>
      <c r="J40" s="378"/>
      <c r="K40" s="378"/>
      <c r="L40" s="378"/>
      <c r="M40" s="378"/>
      <c r="N40" s="378"/>
    </row>
    <row r="41" spans="3:16" ht="24.75" customHeight="1">
      <c r="C41" s="377"/>
      <c r="D41" s="419" t="s">
        <v>44</v>
      </c>
      <c r="E41" s="419"/>
      <c r="F41" s="419"/>
      <c r="G41" s="419"/>
      <c r="H41" s="419"/>
      <c r="I41" s="419"/>
      <c r="J41" s="419"/>
      <c r="K41" s="419"/>
      <c r="L41" s="419"/>
      <c r="M41" s="419"/>
      <c r="N41" s="419"/>
    </row>
    <row r="42" spans="3:16" ht="32.25" customHeight="1">
      <c r="C42" s="377"/>
      <c r="D42" s="9" t="s">
        <v>45</v>
      </c>
      <c r="E42" s="386" t="s">
        <v>46</v>
      </c>
      <c r="F42" s="386"/>
      <c r="G42" s="386"/>
      <c r="H42" s="386"/>
      <c r="I42" s="386"/>
      <c r="J42" s="386"/>
      <c r="K42" s="386"/>
      <c r="L42" s="386"/>
      <c r="M42" s="386"/>
      <c r="N42" s="386"/>
    </row>
    <row r="43" spans="3:16" ht="38.25" customHeight="1">
      <c r="C43" s="377"/>
      <c r="D43" s="9" t="s">
        <v>47</v>
      </c>
      <c r="E43" s="420">
        <f>[38]Лист1!I653</f>
        <v>13800</v>
      </c>
      <c r="F43" s="386"/>
      <c r="G43" s="386"/>
      <c r="H43" s="386"/>
      <c r="I43" s="386"/>
      <c r="J43" s="386"/>
      <c r="K43" s="386"/>
      <c r="L43" s="386"/>
      <c r="M43" s="386"/>
      <c r="N43" s="386"/>
    </row>
    <row r="44" spans="3:16" ht="33" customHeight="1">
      <c r="C44" s="377"/>
      <c r="D44" s="7" t="s">
        <v>48</v>
      </c>
      <c r="E44" s="386">
        <f>[38]Лист1!P129</f>
        <v>220</v>
      </c>
      <c r="F44" s="386"/>
      <c r="G44" s="386"/>
      <c r="H44" s="386"/>
      <c r="I44" s="386"/>
      <c r="J44" s="386"/>
      <c r="K44" s="386"/>
      <c r="L44" s="386"/>
      <c r="M44" s="386"/>
      <c r="N44" s="386"/>
    </row>
    <row r="45" spans="3:16" ht="24.75" customHeight="1">
      <c r="C45" s="377"/>
      <c r="D45" s="7" t="s">
        <v>49</v>
      </c>
      <c r="E45" s="421">
        <f>[38]Лист1!Q145</f>
        <v>425</v>
      </c>
      <c r="F45" s="421"/>
      <c r="G45" s="386"/>
      <c r="H45" s="386"/>
      <c r="I45" s="386"/>
      <c r="J45" s="386"/>
      <c r="K45" s="386"/>
      <c r="L45" s="386"/>
      <c r="M45" s="386"/>
      <c r="N45" s="386"/>
    </row>
    <row r="46" spans="3:16" ht="24.75" customHeight="1">
      <c r="C46" s="377"/>
      <c r="D46" s="7" t="s">
        <v>50</v>
      </c>
      <c r="E46" s="421">
        <f>(а43+E45)*E44*0.025</f>
        <v>78237.5</v>
      </c>
      <c r="F46" s="421"/>
      <c r="G46" s="421"/>
      <c r="H46" s="421"/>
      <c r="I46" s="421"/>
      <c r="J46" s="421"/>
      <c r="K46" s="421"/>
      <c r="L46" s="421"/>
      <c r="M46" s="421"/>
      <c r="N46" s="421"/>
      <c r="P46" s="3">
        <f>E44*E45</f>
        <v>93500</v>
      </c>
    </row>
    <row r="47" spans="3:16" ht="21" customHeight="1">
      <c r="C47" s="377"/>
      <c r="D47" s="9" t="s">
        <v>51</v>
      </c>
      <c r="E47" s="422">
        <v>0.1</v>
      </c>
      <c r="F47" s="422"/>
      <c r="G47" s="422"/>
      <c r="H47" s="422"/>
      <c r="I47" s="422"/>
      <c r="J47" s="422"/>
      <c r="K47" s="422"/>
      <c r="L47" s="422"/>
      <c r="M47" s="422"/>
      <c r="N47" s="422"/>
    </row>
    <row r="48" spans="3:16" ht="24.75" customHeight="1">
      <c r="C48" s="377"/>
      <c r="D48" s="9" t="s">
        <v>52</v>
      </c>
      <c r="E48" s="384">
        <f>E46*E34*1000*1.1</f>
        <v>47128779.761904776</v>
      </c>
      <c r="F48" s="384"/>
      <c r="G48" s="384"/>
      <c r="H48" s="384"/>
      <c r="I48" s="384"/>
      <c r="J48" s="384"/>
      <c r="K48" s="384"/>
      <c r="L48" s="384"/>
      <c r="M48" s="384"/>
      <c r="N48" s="384"/>
    </row>
    <row r="49" spans="3:19" ht="24.75" hidden="1" customHeight="1" outlineLevel="1">
      <c r="C49" s="377"/>
      <c r="D49" s="9"/>
      <c r="E49" s="384"/>
      <c r="F49" s="384"/>
      <c r="G49" s="384"/>
      <c r="H49" s="384"/>
      <c r="I49" s="384"/>
      <c r="J49" s="384"/>
      <c r="K49" s="384"/>
      <c r="L49" s="384"/>
      <c r="M49" s="384"/>
      <c r="N49" s="384"/>
    </row>
    <row r="50" spans="3:19" ht="27" customHeight="1" collapsed="1">
      <c r="C50" s="377"/>
      <c r="D50" s="386" t="s">
        <v>53</v>
      </c>
      <c r="E50" s="386"/>
      <c r="F50" s="386"/>
      <c r="G50" s="386"/>
      <c r="H50" s="386"/>
      <c r="I50" s="386"/>
      <c r="J50" s="386"/>
      <c r="K50" s="386"/>
      <c r="L50" s="386"/>
      <c r="M50" s="386"/>
      <c r="N50" s="386"/>
    </row>
    <row r="51" spans="3:19" ht="32.25" customHeight="1">
      <c r="C51" s="377"/>
      <c r="D51" s="10" t="s">
        <v>54</v>
      </c>
      <c r="E51" s="10"/>
      <c r="F51" s="10">
        <v>2017</v>
      </c>
      <c r="G51" s="10">
        <v>2018</v>
      </c>
      <c r="H51" s="10" t="s">
        <v>55</v>
      </c>
      <c r="I51" s="10"/>
      <c r="J51" s="11"/>
      <c r="K51" s="11"/>
      <c r="L51" s="11"/>
      <c r="M51" s="11"/>
      <c r="N51" s="11"/>
      <c r="S51" s="12"/>
    </row>
    <row r="52" spans="3:19" ht="40.5" customHeight="1">
      <c r="C52" s="377"/>
      <c r="D52" s="8" t="s">
        <v>56</v>
      </c>
      <c r="E52" s="11"/>
      <c r="F52" s="13"/>
      <c r="G52" s="13"/>
      <c r="H52" s="14">
        <f>[38]Лист1!O168</f>
        <v>2016000</v>
      </c>
      <c r="I52" s="15"/>
      <c r="J52" s="16"/>
      <c r="K52" s="10"/>
      <c r="L52" s="10"/>
      <c r="M52" s="10"/>
      <c r="N52" s="10"/>
    </row>
    <row r="53" spans="3:19" ht="38.25" customHeight="1">
      <c r="C53" s="377"/>
      <c r="D53" s="8" t="s">
        <v>57</v>
      </c>
      <c r="E53" s="13"/>
      <c r="F53" s="13"/>
      <c r="G53" s="13"/>
      <c r="H53" s="13">
        <f>[38]Лист1!O202</f>
        <v>191000</v>
      </c>
      <c r="I53" s="14"/>
      <c r="J53" s="16"/>
      <c r="K53" s="10"/>
      <c r="L53" s="10"/>
      <c r="M53" s="10"/>
      <c r="N53" s="10"/>
    </row>
    <row r="54" spans="3:19" ht="37.5" customHeight="1">
      <c r="C54" s="377"/>
      <c r="D54" s="8" t="s">
        <v>58</v>
      </c>
      <c r="E54" s="392" t="s">
        <v>59</v>
      </c>
      <c r="F54" s="392"/>
      <c r="G54" s="392"/>
      <c r="H54" s="392"/>
      <c r="I54" s="392"/>
      <c r="J54" s="392"/>
      <c r="K54" s="392"/>
      <c r="L54" s="392"/>
      <c r="M54" s="392"/>
      <c r="N54" s="392"/>
    </row>
    <row r="55" spans="3:19" ht="21" customHeight="1">
      <c r="C55" s="377"/>
      <c r="D55" s="419" t="s">
        <v>60</v>
      </c>
      <c r="E55" s="419"/>
      <c r="F55" s="419"/>
      <c r="G55" s="419"/>
      <c r="H55" s="419"/>
      <c r="I55" s="419"/>
      <c r="J55" s="419"/>
      <c r="K55" s="419"/>
      <c r="L55" s="419"/>
      <c r="M55" s="419"/>
      <c r="N55" s="419"/>
    </row>
    <row r="56" spans="3:19" ht="24.75" customHeight="1">
      <c r="C56" s="377"/>
      <c r="D56" s="9" t="s">
        <v>45</v>
      </c>
      <c r="E56" s="386" t="str">
        <f>E42</f>
        <v>Строительство и благоустройства</v>
      </c>
      <c r="F56" s="386"/>
      <c r="G56" s="386"/>
      <c r="H56" s="386"/>
      <c r="I56" s="386"/>
      <c r="J56" s="386"/>
      <c r="K56" s="386"/>
      <c r="L56" s="386"/>
      <c r="M56" s="386"/>
      <c r="N56" s="386"/>
    </row>
    <row r="57" spans="3:19" ht="35.25" customHeight="1">
      <c r="C57" s="377"/>
      <c r="D57" s="9" t="s">
        <v>61</v>
      </c>
      <c r="E57" s="17" t="str">
        <f>[38]Лист1!N232</f>
        <v>Россия</v>
      </c>
      <c r="F57" s="17"/>
      <c r="G57" s="17" t="str">
        <f>[38]Лист1!N255</f>
        <v>Казахстан</v>
      </c>
      <c r="H57" s="17"/>
      <c r="I57" s="17"/>
      <c r="J57" s="17"/>
      <c r="K57" s="11"/>
      <c r="L57" s="11"/>
      <c r="M57" s="11"/>
      <c r="N57" s="11"/>
    </row>
    <row r="58" spans="3:19" ht="29.25" customHeight="1">
      <c r="C58" s="377"/>
      <c r="D58" s="9" t="s">
        <v>49</v>
      </c>
      <c r="E58" s="18">
        <f>[38]Лист1!N235</f>
        <v>265000</v>
      </c>
      <c r="F58" s="19"/>
      <c r="G58" s="18">
        <f>[38]Лист1!N257</f>
        <v>55800</v>
      </c>
      <c r="H58" s="18"/>
      <c r="I58" s="19"/>
      <c r="J58" s="18"/>
      <c r="K58" s="6"/>
      <c r="L58" s="6"/>
      <c r="M58" s="6"/>
      <c r="N58" s="6"/>
    </row>
    <row r="59" spans="3:19" ht="24.75" customHeight="1">
      <c r="C59" s="377"/>
      <c r="D59" s="7" t="s">
        <v>62</v>
      </c>
      <c r="E59" s="17">
        <f>$E$44</f>
        <v>220</v>
      </c>
      <c r="F59" s="17"/>
      <c r="G59" s="17">
        <f>$E$44</f>
        <v>220</v>
      </c>
      <c r="H59" s="17"/>
      <c r="I59" s="17"/>
      <c r="J59" s="17"/>
      <c r="K59" s="11"/>
      <c r="L59" s="11"/>
      <c r="M59" s="11"/>
      <c r="N59" s="11"/>
    </row>
    <row r="60" spans="3:19" ht="36" hidden="1" customHeight="1" outlineLevel="1">
      <c r="C60" s="377"/>
      <c r="D60" s="9" t="s">
        <v>63</v>
      </c>
      <c r="E60" s="17"/>
      <c r="F60" s="17"/>
      <c r="G60" s="17"/>
      <c r="H60" s="17"/>
      <c r="I60" s="17"/>
      <c r="J60" s="17"/>
      <c r="K60" s="11"/>
      <c r="L60" s="11"/>
      <c r="M60" s="11"/>
      <c r="N60" s="11"/>
    </row>
    <row r="61" spans="3:19" ht="24.75" customHeight="1" collapsed="1">
      <c r="C61" s="377"/>
      <c r="D61" s="9" t="s">
        <v>51</v>
      </c>
      <c r="E61" s="20">
        <v>0.05</v>
      </c>
      <c r="F61" s="20"/>
      <c r="G61" s="20">
        <v>0.05</v>
      </c>
      <c r="H61" s="20"/>
      <c r="I61" s="20"/>
      <c r="J61" s="20"/>
      <c r="K61" s="11"/>
      <c r="L61" s="11"/>
      <c r="M61" s="11"/>
      <c r="N61" s="11"/>
    </row>
    <row r="62" spans="3:19" ht="24.75" customHeight="1">
      <c r="C62" s="377"/>
      <c r="D62" s="9" t="s">
        <v>64</v>
      </c>
      <c r="E62" s="18">
        <f>E58*E59</f>
        <v>58300000</v>
      </c>
      <c r="F62" s="17"/>
      <c r="G62" s="18">
        <f>G58*G59</f>
        <v>12276000</v>
      </c>
      <c r="H62" s="18"/>
      <c r="I62" s="17"/>
      <c r="J62" s="18"/>
      <c r="K62" s="11"/>
      <c r="L62" s="11"/>
      <c r="M62" s="11"/>
      <c r="N62" s="11"/>
    </row>
    <row r="63" spans="3:19" ht="24.75" customHeight="1">
      <c r="C63" s="377"/>
      <c r="D63" s="9" t="s">
        <v>52</v>
      </c>
      <c r="E63" s="18">
        <f>E62*$J$34</f>
        <v>782330476.19047618</v>
      </c>
      <c r="F63" s="18">
        <f t="shared" ref="F63" si="0">F62*$J$34*0.15</f>
        <v>0</v>
      </c>
      <c r="G63" s="18">
        <f>G62*$J$34</f>
        <v>164732228.57142857</v>
      </c>
      <c r="H63" s="18"/>
      <c r="I63" s="18"/>
      <c r="J63" s="18"/>
      <c r="K63" s="21"/>
      <c r="L63" s="21"/>
      <c r="M63" s="21"/>
      <c r="N63" s="21"/>
    </row>
    <row r="64" spans="3:19" ht="24.75" customHeight="1">
      <c r="C64" s="377"/>
      <c r="D64" s="9" t="s">
        <v>65</v>
      </c>
      <c r="E64" s="375">
        <f>SUM(E63:N63)</f>
        <v>947062704.76190472</v>
      </c>
      <c r="F64" s="375"/>
      <c r="G64" s="375"/>
      <c r="H64" s="375"/>
      <c r="I64" s="375"/>
      <c r="J64" s="375"/>
      <c r="K64" s="21"/>
      <c r="L64" s="21"/>
      <c r="M64" s="21"/>
      <c r="N64" s="21"/>
    </row>
    <row r="65" spans="3:14" ht="28.5" customHeight="1">
      <c r="C65" s="377"/>
      <c r="D65" s="386" t="s">
        <v>66</v>
      </c>
      <c r="E65" s="386"/>
      <c r="F65" s="386"/>
      <c r="G65" s="386"/>
      <c r="H65" s="386"/>
      <c r="I65" s="386"/>
      <c r="J65" s="386"/>
      <c r="K65" s="386"/>
      <c r="L65" s="386"/>
      <c r="M65" s="386"/>
      <c r="N65" s="386"/>
    </row>
    <row r="66" spans="3:14" ht="28.5" customHeight="1">
      <c r="C66" s="377"/>
      <c r="D66" s="10" t="s">
        <v>67</v>
      </c>
      <c r="E66" s="10"/>
      <c r="F66" s="10"/>
      <c r="G66" s="10">
        <v>2018</v>
      </c>
      <c r="H66" s="10">
        <v>2019</v>
      </c>
      <c r="I66" s="10"/>
      <c r="J66" s="11"/>
      <c r="K66" s="11"/>
      <c r="L66" s="11"/>
      <c r="M66" s="11"/>
      <c r="N66" s="11"/>
    </row>
    <row r="67" spans="3:14" ht="24" customHeight="1">
      <c r="C67" s="377"/>
      <c r="D67" s="8" t="s">
        <v>68</v>
      </c>
      <c r="E67" s="10"/>
      <c r="F67" s="22"/>
      <c r="G67" s="22"/>
      <c r="H67" s="22">
        <f>[38]Лист1!S383</f>
        <v>12.525</v>
      </c>
      <c r="I67" s="10"/>
      <c r="J67" s="23"/>
      <c r="K67" s="10"/>
      <c r="L67" s="10"/>
      <c r="M67" s="10"/>
      <c r="N67" s="10"/>
    </row>
    <row r="68" spans="3:14" ht="24" customHeight="1">
      <c r="C68" s="377"/>
      <c r="D68" s="8" t="s">
        <v>69</v>
      </c>
      <c r="E68" s="10"/>
      <c r="F68" s="22"/>
      <c r="G68" s="22"/>
      <c r="H68" s="22">
        <f>[38]Лист1!S386</f>
        <v>1.9</v>
      </c>
      <c r="I68" s="10"/>
      <c r="J68" s="23"/>
      <c r="K68" s="10"/>
      <c r="L68" s="10"/>
      <c r="M68" s="10"/>
      <c r="N68" s="10"/>
    </row>
    <row r="69" spans="3:14" ht="20.25" customHeight="1">
      <c r="C69" s="377"/>
      <c r="D69" s="8" t="s">
        <v>70</v>
      </c>
      <c r="E69" s="24"/>
      <c r="F69" s="22"/>
      <c r="G69" s="22"/>
      <c r="H69" s="22">
        <f>[38]Лист1!S388</f>
        <v>17</v>
      </c>
      <c r="I69" s="10"/>
      <c r="J69" s="23"/>
      <c r="K69" s="10"/>
      <c r="L69" s="10"/>
      <c r="M69" s="10"/>
      <c r="N69" s="10"/>
    </row>
    <row r="70" spans="3:14" ht="24" customHeight="1">
      <c r="C70" s="377"/>
      <c r="D70" s="8" t="s">
        <v>71</v>
      </c>
      <c r="E70" s="25"/>
      <c r="F70" s="22"/>
      <c r="G70" s="22"/>
      <c r="H70" s="22">
        <f>[38]Лист1!S384</f>
        <v>7.4</v>
      </c>
      <c r="I70" s="10"/>
      <c r="J70" s="23"/>
      <c r="K70" s="10"/>
      <c r="L70" s="10"/>
      <c r="M70" s="10"/>
      <c r="N70" s="10"/>
    </row>
    <row r="71" spans="3:14" ht="19.5" customHeight="1">
      <c r="C71" s="377"/>
      <c r="D71" s="8" t="s">
        <v>72</v>
      </c>
      <c r="E71" s="25"/>
      <c r="F71" s="22"/>
      <c r="G71" s="22"/>
      <c r="H71" s="22">
        <f>[38]Лист1!S385</f>
        <v>3.6</v>
      </c>
      <c r="I71" s="10"/>
      <c r="J71" s="23"/>
      <c r="K71" s="10"/>
      <c r="L71" s="10"/>
      <c r="M71" s="10"/>
      <c r="N71" s="10"/>
    </row>
    <row r="72" spans="3:14" ht="40.5" hidden="1" customHeight="1" outlineLevel="1">
      <c r="C72" s="377"/>
      <c r="D72" s="8" t="s">
        <v>73</v>
      </c>
      <c r="E72" s="10"/>
      <c r="F72" s="10"/>
      <c r="G72" s="10"/>
      <c r="H72" s="10"/>
      <c r="I72" s="10"/>
      <c r="J72" s="10"/>
      <c r="K72" s="10"/>
      <c r="L72" s="10"/>
      <c r="M72" s="10"/>
      <c r="N72" s="10"/>
    </row>
    <row r="73" spans="3:14" ht="21" hidden="1" customHeight="1" outlineLevel="1">
      <c r="C73" s="377"/>
      <c r="D73" s="8" t="s">
        <v>74</v>
      </c>
      <c r="E73" s="10"/>
      <c r="F73" s="10"/>
      <c r="G73" s="10"/>
      <c r="H73" s="10"/>
      <c r="I73" s="10"/>
      <c r="J73" s="10"/>
      <c r="K73" s="10"/>
      <c r="L73" s="10"/>
      <c r="M73" s="10"/>
      <c r="N73" s="10"/>
    </row>
    <row r="74" spans="3:14" ht="21" hidden="1" customHeight="1" outlineLevel="1">
      <c r="C74" s="377"/>
      <c r="D74" s="8" t="s">
        <v>75</v>
      </c>
      <c r="E74" s="10"/>
      <c r="F74" s="10"/>
      <c r="G74" s="10"/>
      <c r="H74" s="10"/>
      <c r="I74" s="10"/>
      <c r="J74" s="10"/>
      <c r="K74" s="10"/>
      <c r="L74" s="10"/>
      <c r="M74" s="10"/>
      <c r="N74" s="10"/>
    </row>
    <row r="75" spans="3:14" ht="21" hidden="1" customHeight="1" outlineLevel="1">
      <c r="C75" s="377"/>
      <c r="D75" s="8" t="s">
        <v>76</v>
      </c>
      <c r="E75" s="10"/>
      <c r="F75" s="10"/>
      <c r="G75" s="10"/>
      <c r="H75" s="10"/>
      <c r="I75" s="10"/>
      <c r="J75" s="10"/>
      <c r="K75" s="10"/>
      <c r="L75" s="10"/>
      <c r="M75" s="10"/>
      <c r="N75" s="10"/>
    </row>
    <row r="76" spans="3:14" ht="21" hidden="1" customHeight="1" outlineLevel="1">
      <c r="C76" s="377"/>
      <c r="D76" s="8" t="s">
        <v>76</v>
      </c>
      <c r="E76" s="10"/>
      <c r="F76" s="10"/>
      <c r="G76" s="10"/>
      <c r="H76" s="10"/>
      <c r="I76" s="10"/>
      <c r="J76" s="10"/>
      <c r="K76" s="10"/>
      <c r="L76" s="10"/>
      <c r="M76" s="10"/>
      <c r="N76" s="10"/>
    </row>
    <row r="77" spans="3:14" ht="30.75" hidden="1" customHeight="1" outlineLevel="1">
      <c r="C77" s="377"/>
      <c r="D77" s="8" t="s">
        <v>77</v>
      </c>
      <c r="E77" s="382"/>
      <c r="F77" s="382"/>
      <c r="G77" s="382"/>
      <c r="H77" s="382"/>
      <c r="I77" s="382"/>
      <c r="J77" s="382"/>
      <c r="K77" s="382"/>
      <c r="L77" s="382"/>
      <c r="M77" s="382"/>
      <c r="N77" s="382"/>
    </row>
    <row r="78" spans="3:14" ht="30" customHeight="1" collapsed="1">
      <c r="C78" s="377"/>
      <c r="D78" s="8" t="s">
        <v>78</v>
      </c>
      <c r="E78" s="379">
        <f>SUM(H67:H71)*1000000</f>
        <v>42425000.000000007</v>
      </c>
      <c r="F78" s="379"/>
      <c r="G78" s="382"/>
      <c r="H78" s="382"/>
      <c r="I78" s="382"/>
      <c r="J78" s="382"/>
      <c r="K78" s="382"/>
      <c r="L78" s="382"/>
      <c r="M78" s="382"/>
      <c r="N78" s="382"/>
    </row>
    <row r="79" spans="3:14" ht="21" customHeight="1">
      <c r="C79" s="377"/>
      <c r="D79" s="417" t="s">
        <v>79</v>
      </c>
      <c r="E79" s="417"/>
      <c r="F79" s="417"/>
      <c r="G79" s="417"/>
      <c r="H79" s="417"/>
      <c r="I79" s="417"/>
      <c r="J79" s="417"/>
      <c r="K79" s="417"/>
      <c r="L79" s="417"/>
      <c r="M79" s="417"/>
      <c r="N79" s="417"/>
    </row>
    <row r="80" spans="3:14" ht="24.75" customHeight="1">
      <c r="C80" s="377"/>
      <c r="D80" s="9" t="str">
        <f>'[39]Форма-отчета 15'!D40</f>
        <v>Объем импорта продукции проекта (США), тонн</v>
      </c>
      <c r="E80" s="11"/>
      <c r="F80" s="11"/>
      <c r="G80" s="14">
        <f>[38]Лист1!V679</f>
        <v>104598</v>
      </c>
      <c r="H80" s="14"/>
      <c r="I80" s="11"/>
      <c r="J80" s="11"/>
      <c r="K80" s="11"/>
      <c r="L80" s="11"/>
      <c r="M80" s="11"/>
      <c r="N80" s="11"/>
    </row>
    <row r="81" spans="3:14" ht="24.75" customHeight="1">
      <c r="C81" s="377"/>
      <c r="D81" s="9" t="str">
        <f>'[39]Форма-отчета 15'!D41</f>
        <v>Объем импорта продукции проекта (Канада), тонн</v>
      </c>
      <c r="E81" s="11"/>
      <c r="F81" s="11"/>
      <c r="G81" s="14">
        <f>[38]Лист1!V680</f>
        <v>35000</v>
      </c>
      <c r="H81" s="14"/>
      <c r="I81" s="11"/>
      <c r="J81" s="11"/>
      <c r="K81" s="11"/>
      <c r="L81" s="11"/>
      <c r="M81" s="11"/>
      <c r="N81" s="11"/>
    </row>
    <row r="82" spans="3:14" ht="24.75" customHeight="1">
      <c r="C82" s="377"/>
      <c r="D82" s="9" t="str">
        <f>'[39]Форма-отчета 15'!D42</f>
        <v>Объем импорта продукции проекта (Великая Британия), тонн</v>
      </c>
      <c r="E82" s="11"/>
      <c r="F82" s="11"/>
      <c r="G82" s="14">
        <f>[38]Лист1!V681</f>
        <v>69000</v>
      </c>
      <c r="H82" s="14"/>
      <c r="I82" s="11"/>
      <c r="J82" s="11"/>
      <c r="K82" s="11"/>
      <c r="L82" s="11"/>
      <c r="M82" s="11"/>
      <c r="N82" s="11"/>
    </row>
    <row r="83" spans="3:14" ht="36" customHeight="1">
      <c r="C83" s="377"/>
      <c r="D83" s="9" t="str">
        <f>'[39]Форма-отчета 15'!D43</f>
        <v>Объем импорта продукции проекта (Франция), тонн</v>
      </c>
      <c r="E83" s="11"/>
      <c r="F83" s="11"/>
      <c r="G83" s="14">
        <f>[38]Лист1!V682</f>
        <v>44000</v>
      </c>
      <c r="H83" s="14"/>
      <c r="I83" s="11"/>
      <c r="J83" s="11"/>
      <c r="K83" s="11"/>
      <c r="L83" s="11"/>
      <c r="M83" s="11"/>
      <c r="N83" s="11"/>
    </row>
    <row r="84" spans="3:14" ht="24.75" customHeight="1">
      <c r="C84" s="377"/>
      <c r="D84" s="9" t="str">
        <f>'[39]Форма-отчета 15'!D44</f>
        <v>Объем импорта продукции проекта (Германия), тонн</v>
      </c>
      <c r="E84" s="11"/>
      <c r="F84" s="11"/>
      <c r="G84" s="14">
        <f>[38]Лист1!V683</f>
        <v>63000</v>
      </c>
      <c r="H84" s="14"/>
      <c r="I84" s="11"/>
      <c r="J84" s="11"/>
      <c r="K84" s="11"/>
      <c r="L84" s="11"/>
      <c r="M84" s="11"/>
      <c r="N84" s="11"/>
    </row>
    <row r="85" spans="3:14" ht="24.75" customHeight="1">
      <c r="C85" s="377"/>
      <c r="D85" s="9" t="s">
        <v>80</v>
      </c>
      <c r="E85" s="11"/>
      <c r="F85" s="11"/>
      <c r="G85" s="26">
        <f>SUM(G80:G84)</f>
        <v>315598</v>
      </c>
      <c r="H85" s="26">
        <f>SUM(H80:H84)</f>
        <v>0</v>
      </c>
      <c r="I85" s="11"/>
      <c r="J85" s="11"/>
      <c r="K85" s="11"/>
      <c r="L85" s="11"/>
      <c r="M85" s="11"/>
      <c r="N85" s="11"/>
    </row>
    <row r="86" spans="3:14" ht="24.75" customHeight="1">
      <c r="C86" s="377"/>
      <c r="D86" s="9" t="s">
        <v>52</v>
      </c>
      <c r="E86" s="375">
        <f>G85*E34*1000</f>
        <v>172827476.19047621</v>
      </c>
      <c r="F86" s="375"/>
      <c r="G86" s="375"/>
      <c r="H86" s="375"/>
      <c r="I86" s="375"/>
      <c r="J86" s="375"/>
      <c r="K86" s="375"/>
      <c r="L86" s="375"/>
      <c r="M86" s="375"/>
      <c r="N86" s="375"/>
    </row>
    <row r="87" spans="3:14" ht="21" customHeight="1">
      <c r="C87" s="377"/>
      <c r="D87" s="418" t="s">
        <v>81</v>
      </c>
      <c r="E87" s="418"/>
      <c r="F87" s="418"/>
      <c r="G87" s="418"/>
      <c r="H87" s="418"/>
      <c r="I87" s="418"/>
      <c r="J87" s="418"/>
      <c r="K87" s="418"/>
      <c r="L87" s="418"/>
      <c r="M87" s="418"/>
      <c r="N87" s="418"/>
    </row>
    <row r="88" spans="3:14" ht="66.75" hidden="1" customHeight="1" outlineLevel="1">
      <c r="C88" s="377"/>
      <c r="D88" s="8" t="s">
        <v>82</v>
      </c>
      <c r="E88" s="386"/>
      <c r="F88" s="386"/>
      <c r="G88" s="386"/>
      <c r="H88" s="386"/>
      <c r="I88" s="386"/>
      <c r="J88" s="386"/>
      <c r="K88" s="386"/>
      <c r="L88" s="386"/>
      <c r="M88" s="386"/>
      <c r="N88" s="386"/>
    </row>
    <row r="89" spans="3:14" ht="74.25" hidden="1" customHeight="1" outlineLevel="1">
      <c r="C89" s="377"/>
      <c r="D89" s="10" t="s">
        <v>83</v>
      </c>
      <c r="E89" s="382"/>
      <c r="F89" s="382"/>
      <c r="G89" s="382"/>
      <c r="H89" s="382"/>
      <c r="I89" s="382"/>
      <c r="J89" s="382"/>
      <c r="K89" s="382"/>
      <c r="L89" s="382"/>
      <c r="M89" s="382"/>
      <c r="N89" s="382"/>
    </row>
    <row r="90" spans="3:14" ht="24.75" customHeight="1" collapsed="1">
      <c r="C90" s="377"/>
      <c r="D90" s="27" t="s">
        <v>84</v>
      </c>
      <c r="E90" s="416">
        <f>E78</f>
        <v>42425000.000000007</v>
      </c>
      <c r="F90" s="416"/>
      <c r="G90" s="416"/>
      <c r="H90" s="416"/>
      <c r="I90" s="416"/>
      <c r="J90" s="416">
        <f>E48</f>
        <v>47128779.761904776</v>
      </c>
      <c r="K90" s="416"/>
      <c r="L90" s="416"/>
      <c r="M90" s="416"/>
      <c r="N90" s="416"/>
    </row>
    <row r="91" spans="3:14" ht="36.75" customHeight="1">
      <c r="C91" s="377"/>
      <c r="D91" s="27" t="s">
        <v>85</v>
      </c>
      <c r="E91" s="415">
        <v>0.5</v>
      </c>
      <c r="F91" s="415"/>
      <c r="G91" s="415"/>
      <c r="H91" s="415"/>
      <c r="I91" s="415"/>
      <c r="J91" s="415">
        <f>1-E91</f>
        <v>0.5</v>
      </c>
      <c r="K91" s="415"/>
      <c r="L91" s="415"/>
      <c r="M91" s="415"/>
      <c r="N91" s="415"/>
    </row>
    <row r="92" spans="3:14" ht="21.75" customHeight="1">
      <c r="C92" s="377"/>
      <c r="D92" s="27" t="s">
        <v>86</v>
      </c>
      <c r="E92" s="414">
        <f>E91*$E$39/E90</f>
        <v>1.1778025759744086E-2</v>
      </c>
      <c r="F92" s="414"/>
      <c r="G92" s="414"/>
      <c r="H92" s="414"/>
      <c r="I92" s="414"/>
      <c r="J92" s="415">
        <f>J91*$E$39/J90</f>
        <v>1.0602496932480467E-2</v>
      </c>
      <c r="K92" s="415"/>
      <c r="L92" s="415"/>
      <c r="M92" s="415"/>
      <c r="N92" s="415"/>
    </row>
    <row r="93" spans="3:14" ht="33.75">
      <c r="C93" s="377">
        <v>4</v>
      </c>
      <c r="D93" s="378" t="s">
        <v>87</v>
      </c>
      <c r="E93" s="378"/>
      <c r="F93" s="378"/>
      <c r="G93" s="378"/>
      <c r="H93" s="378"/>
      <c r="I93" s="378"/>
      <c r="J93" s="378"/>
      <c r="K93" s="378"/>
      <c r="L93" s="378"/>
      <c r="M93" s="378"/>
      <c r="N93" s="378"/>
    </row>
    <row r="94" spans="3:14" ht="35.25" customHeight="1">
      <c r="C94" s="377"/>
      <c r="D94" s="10" t="s">
        <v>88</v>
      </c>
      <c r="E94" s="382" t="s">
        <v>89</v>
      </c>
      <c r="F94" s="382"/>
      <c r="G94" s="382"/>
      <c r="H94" s="382"/>
      <c r="I94" s="382"/>
      <c r="J94" s="382"/>
      <c r="K94" s="382"/>
      <c r="L94" s="382"/>
      <c r="M94" s="382"/>
      <c r="N94" s="382"/>
    </row>
    <row r="95" spans="3:14" ht="53.25" customHeight="1">
      <c r="C95" s="377"/>
      <c r="D95" s="7" t="s">
        <v>90</v>
      </c>
      <c r="E95" s="382" t="s">
        <v>91</v>
      </c>
      <c r="F95" s="382"/>
      <c r="G95" s="382"/>
      <c r="H95" s="382"/>
      <c r="I95" s="382" t="s">
        <v>92</v>
      </c>
      <c r="J95" s="382"/>
      <c r="K95" s="382"/>
      <c r="L95" s="382"/>
      <c r="M95" s="382"/>
      <c r="N95" s="382"/>
    </row>
    <row r="96" spans="3:14" ht="50.25" customHeight="1">
      <c r="C96" s="377"/>
      <c r="D96" s="8" t="s">
        <v>93</v>
      </c>
      <c r="E96" s="375">
        <f>[38]Лист1!Q470</f>
        <v>1843.2</v>
      </c>
      <c r="F96" s="375"/>
      <c r="G96" s="375"/>
      <c r="H96" s="375"/>
      <c r="I96" s="375">
        <f>[38]Лист1!Q528</f>
        <v>38400</v>
      </c>
      <c r="J96" s="375"/>
      <c r="K96" s="375"/>
      <c r="L96" s="375"/>
      <c r="M96" s="375"/>
      <c r="N96" s="375"/>
    </row>
    <row r="97" spans="3:18" ht="26.25" customHeight="1">
      <c r="C97" s="377"/>
      <c r="D97" s="8" t="s">
        <v>94</v>
      </c>
      <c r="E97" s="407" t="s">
        <v>95</v>
      </c>
      <c r="F97" s="408"/>
      <c r="G97" s="408"/>
      <c r="H97" s="409"/>
      <c r="I97" s="407" t="s">
        <v>95</v>
      </c>
      <c r="J97" s="408"/>
      <c r="K97" s="408"/>
      <c r="L97" s="408"/>
      <c r="M97" s="408"/>
      <c r="N97" s="409"/>
    </row>
    <row r="98" spans="3:18" ht="21" customHeight="1">
      <c r="C98" s="377"/>
      <c r="D98" s="8" t="s">
        <v>96</v>
      </c>
      <c r="E98" s="410">
        <f>[38]Лист1!O501</f>
        <v>130666.66666666667</v>
      </c>
      <c r="F98" s="410"/>
      <c r="G98" s="410"/>
      <c r="H98" s="410"/>
      <c r="I98" s="410">
        <f>[38]Лист1!O559*2</f>
        <v>60800</v>
      </c>
      <c r="J98" s="410"/>
      <c r="K98" s="410"/>
      <c r="L98" s="410"/>
      <c r="M98" s="410"/>
      <c r="N98" s="410"/>
    </row>
    <row r="99" spans="3:18" ht="18" customHeight="1">
      <c r="C99" s="377"/>
      <c r="D99" s="8" t="s">
        <v>97</v>
      </c>
      <c r="E99" s="411" t="s">
        <v>98</v>
      </c>
      <c r="F99" s="412"/>
      <c r="G99" s="412"/>
      <c r="H99" s="412"/>
      <c r="I99" s="411" t="s">
        <v>99</v>
      </c>
      <c r="J99" s="412"/>
      <c r="K99" s="412"/>
      <c r="L99" s="412"/>
      <c r="M99" s="412"/>
      <c r="N99" s="412"/>
    </row>
    <row r="100" spans="3:18" ht="409.5" customHeight="1">
      <c r="C100" s="377"/>
      <c r="D100" s="8" t="s">
        <v>100</v>
      </c>
      <c r="E100" s="413" t="s">
        <v>101</v>
      </c>
      <c r="F100" s="402"/>
      <c r="G100" s="402"/>
      <c r="H100" s="403"/>
      <c r="I100" s="401" t="s">
        <v>102</v>
      </c>
      <c r="J100" s="402"/>
      <c r="K100" s="402"/>
      <c r="L100" s="402"/>
      <c r="M100" s="402"/>
      <c r="N100" s="403"/>
      <c r="R100" s="3" t="s">
        <v>103</v>
      </c>
    </row>
    <row r="101" spans="3:18" ht="50.25" customHeight="1">
      <c r="C101" s="377"/>
      <c r="D101" s="8" t="s">
        <v>104</v>
      </c>
      <c r="E101" s="388" t="s">
        <v>105</v>
      </c>
      <c r="F101" s="389"/>
      <c r="G101" s="389"/>
      <c r="H101" s="390"/>
      <c r="I101" s="388" t="s">
        <v>106</v>
      </c>
      <c r="J101" s="389"/>
      <c r="K101" s="389"/>
      <c r="L101" s="389"/>
      <c r="M101" s="389"/>
      <c r="N101" s="390"/>
    </row>
    <row r="102" spans="3:18" ht="36.75" customHeight="1">
      <c r="C102" s="377"/>
      <c r="D102" s="376" t="s">
        <v>107</v>
      </c>
      <c r="E102" s="398" t="s">
        <v>108</v>
      </c>
      <c r="F102" s="399"/>
      <c r="G102" s="399"/>
      <c r="H102" s="399"/>
      <c r="I102" s="399"/>
      <c r="J102" s="399"/>
      <c r="K102" s="399"/>
      <c r="L102" s="399"/>
      <c r="M102" s="399"/>
      <c r="N102" s="400"/>
    </row>
    <row r="103" spans="3:18" ht="36.75" hidden="1" customHeight="1" outlineLevel="1">
      <c r="C103" s="377"/>
      <c r="D103" s="376"/>
      <c r="E103" s="382" t="s">
        <v>109</v>
      </c>
      <c r="F103" s="382"/>
      <c r="G103" s="382"/>
      <c r="H103" s="382"/>
      <c r="I103" s="10"/>
      <c r="J103" s="382" t="s">
        <v>109</v>
      </c>
      <c r="K103" s="382"/>
      <c r="L103" s="382"/>
      <c r="M103" s="382"/>
      <c r="N103" s="382"/>
    </row>
    <row r="104" spans="3:18" ht="36.75" hidden="1" customHeight="1" outlineLevel="1">
      <c r="C104" s="377"/>
      <c r="D104" s="376"/>
      <c r="E104" s="382" t="s">
        <v>109</v>
      </c>
      <c r="F104" s="382"/>
      <c r="G104" s="382"/>
      <c r="H104" s="382"/>
      <c r="I104" s="10"/>
      <c r="J104" s="382" t="s">
        <v>109</v>
      </c>
      <c r="K104" s="382"/>
      <c r="L104" s="382"/>
      <c r="M104" s="382"/>
      <c r="N104" s="382"/>
    </row>
    <row r="105" spans="3:18" ht="33" customHeight="1" collapsed="1">
      <c r="C105" s="377"/>
      <c r="D105" s="8" t="s">
        <v>110</v>
      </c>
      <c r="E105" s="398">
        <v>150</v>
      </c>
      <c r="F105" s="399"/>
      <c r="G105" s="399"/>
      <c r="H105" s="400"/>
      <c r="I105" s="398">
        <v>200</v>
      </c>
      <c r="J105" s="399"/>
      <c r="K105" s="399"/>
      <c r="L105" s="399"/>
      <c r="M105" s="399"/>
      <c r="N105" s="400"/>
    </row>
    <row r="106" spans="3:18" ht="35.25" customHeight="1">
      <c r="C106" s="377"/>
      <c r="D106" s="8" t="s">
        <v>111</v>
      </c>
      <c r="E106" s="398">
        <v>3</v>
      </c>
      <c r="F106" s="399"/>
      <c r="G106" s="399"/>
      <c r="H106" s="400"/>
      <c r="I106" s="398">
        <v>4</v>
      </c>
      <c r="J106" s="399"/>
      <c r="K106" s="399"/>
      <c r="L106" s="399"/>
      <c r="M106" s="399"/>
      <c r="N106" s="400"/>
    </row>
    <row r="107" spans="3:18" ht="21.75" customHeight="1">
      <c r="C107" s="377"/>
      <c r="D107" s="376" t="s">
        <v>112</v>
      </c>
      <c r="E107" s="376"/>
      <c r="F107" s="376"/>
      <c r="G107" s="376"/>
      <c r="H107" s="376"/>
      <c r="I107" s="376"/>
      <c r="J107" s="376"/>
      <c r="K107" s="376"/>
      <c r="L107" s="376"/>
      <c r="M107" s="376"/>
      <c r="N107" s="376"/>
    </row>
    <row r="108" spans="3:18" ht="114" customHeight="1">
      <c r="C108" s="377"/>
      <c r="D108" s="8" t="s">
        <v>113</v>
      </c>
      <c r="E108" s="401" t="s">
        <v>114</v>
      </c>
      <c r="F108" s="402"/>
      <c r="G108" s="402"/>
      <c r="H108" s="403"/>
      <c r="I108" s="404" t="s">
        <v>115</v>
      </c>
      <c r="J108" s="405"/>
      <c r="K108" s="405"/>
      <c r="L108" s="405"/>
      <c r="M108" s="405"/>
      <c r="N108" s="406"/>
    </row>
    <row r="109" spans="3:18" ht="35.25" customHeight="1">
      <c r="C109" s="377"/>
      <c r="D109" s="8" t="s">
        <v>116</v>
      </c>
      <c r="E109" s="393">
        <f>E96</f>
        <v>1843.2</v>
      </c>
      <c r="F109" s="394"/>
      <c r="G109" s="394"/>
      <c r="H109" s="395"/>
      <c r="I109" s="393">
        <f>I96</f>
        <v>38400</v>
      </c>
      <c r="J109" s="394"/>
      <c r="K109" s="394"/>
      <c r="L109" s="394"/>
      <c r="M109" s="394"/>
      <c r="N109" s="395"/>
    </row>
    <row r="110" spans="3:18" ht="16.5" customHeight="1">
      <c r="C110" s="377"/>
      <c r="D110" s="8" t="s">
        <v>117</v>
      </c>
      <c r="E110" s="376" t="str">
        <f>E94</f>
        <v>Италия, Китай, Россия, Германия</v>
      </c>
      <c r="F110" s="376"/>
      <c r="G110" s="376"/>
      <c r="H110" s="376"/>
      <c r="I110" s="376"/>
      <c r="J110" s="376"/>
      <c r="K110" s="376"/>
      <c r="L110" s="376"/>
      <c r="M110" s="376"/>
      <c r="N110" s="376"/>
    </row>
    <row r="111" spans="3:18" ht="16.5" customHeight="1">
      <c r="C111" s="377"/>
      <c r="D111" s="8" t="s">
        <v>118</v>
      </c>
      <c r="E111" s="396">
        <f>E98+I98</f>
        <v>191466.66666666669</v>
      </c>
      <c r="F111" s="396"/>
      <c r="G111" s="396"/>
      <c r="H111" s="396"/>
      <c r="I111" s="396"/>
      <c r="J111" s="396"/>
      <c r="K111" s="396"/>
      <c r="L111" s="396"/>
      <c r="M111" s="396"/>
      <c r="N111" s="396"/>
    </row>
    <row r="112" spans="3:18" ht="18" customHeight="1">
      <c r="C112" s="377"/>
      <c r="D112" s="8" t="s">
        <v>119</v>
      </c>
      <c r="E112" s="376">
        <f>E105+I105</f>
        <v>350</v>
      </c>
      <c r="F112" s="376"/>
      <c r="G112" s="376"/>
      <c r="H112" s="376"/>
      <c r="I112" s="376"/>
      <c r="J112" s="376"/>
      <c r="K112" s="376"/>
      <c r="L112" s="376"/>
      <c r="M112" s="376"/>
      <c r="N112" s="376"/>
    </row>
    <row r="113" spans="3:14" ht="18" customHeight="1">
      <c r="C113" s="377"/>
      <c r="D113" s="8" t="s">
        <v>120</v>
      </c>
      <c r="E113" s="397" t="s">
        <v>121</v>
      </c>
      <c r="F113" s="397"/>
      <c r="G113" s="376"/>
      <c r="H113" s="376"/>
      <c r="I113" s="376"/>
      <c r="J113" s="376"/>
      <c r="K113" s="376"/>
      <c r="L113" s="376"/>
      <c r="M113" s="376"/>
      <c r="N113" s="376"/>
    </row>
    <row r="114" spans="3:14" ht="17.25" customHeight="1">
      <c r="C114" s="377"/>
      <c r="D114" s="8" t="s">
        <v>122</v>
      </c>
      <c r="E114" s="391" t="s">
        <v>123</v>
      </c>
      <c r="F114" s="391"/>
      <c r="G114" s="391"/>
      <c r="H114" s="391"/>
      <c r="I114" s="391"/>
      <c r="J114" s="391"/>
      <c r="K114" s="391"/>
      <c r="L114" s="391"/>
      <c r="M114" s="391"/>
      <c r="N114" s="391"/>
    </row>
    <row r="115" spans="3:14" ht="33" customHeight="1">
      <c r="C115" s="377">
        <v>5</v>
      </c>
      <c r="D115" s="378" t="s">
        <v>124</v>
      </c>
      <c r="E115" s="378"/>
      <c r="F115" s="378"/>
      <c r="G115" s="378"/>
      <c r="H115" s="378"/>
      <c r="I115" s="378"/>
      <c r="J115" s="378"/>
      <c r="K115" s="378"/>
      <c r="L115" s="378"/>
      <c r="M115" s="378"/>
      <c r="N115" s="378"/>
    </row>
    <row r="116" spans="3:14" ht="79.5" customHeight="1">
      <c r="C116" s="377"/>
      <c r="D116" s="8" t="s">
        <v>125</v>
      </c>
      <c r="E116" s="11" t="s">
        <v>126</v>
      </c>
      <c r="F116" s="11"/>
      <c r="G116" s="11"/>
      <c r="H116" s="11"/>
      <c r="I116" s="11" t="s">
        <v>127</v>
      </c>
      <c r="J116" s="11" t="s">
        <v>128</v>
      </c>
      <c r="K116" s="11"/>
      <c r="L116" s="11" t="s">
        <v>129</v>
      </c>
      <c r="M116" s="11"/>
      <c r="N116" s="11" t="s">
        <v>130</v>
      </c>
    </row>
    <row r="117" spans="3:14" ht="15">
      <c r="C117" s="377"/>
      <c r="D117" s="8" t="s">
        <v>131</v>
      </c>
      <c r="E117" s="11" t="s">
        <v>132</v>
      </c>
      <c r="F117" s="11" t="s">
        <v>132</v>
      </c>
      <c r="G117" s="11" t="s">
        <v>132</v>
      </c>
      <c r="H117" s="11" t="s">
        <v>132</v>
      </c>
      <c r="I117" s="11" t="s">
        <v>132</v>
      </c>
      <c r="J117" s="11" t="s">
        <v>132</v>
      </c>
      <c r="K117" s="11" t="s">
        <v>132</v>
      </c>
      <c r="L117" s="11" t="s">
        <v>132</v>
      </c>
      <c r="M117" s="11"/>
      <c r="N117" s="11"/>
    </row>
    <row r="118" spans="3:14" ht="30" hidden="1" customHeight="1" outlineLevel="1">
      <c r="C118" s="377"/>
      <c r="D118" s="8" t="s">
        <v>133</v>
      </c>
      <c r="E118" s="6"/>
      <c r="F118" s="6"/>
      <c r="G118" s="6"/>
      <c r="H118" s="6"/>
      <c r="I118" s="6"/>
      <c r="J118" s="6"/>
      <c r="K118" s="6"/>
      <c r="L118" s="6"/>
      <c r="M118" s="6"/>
      <c r="N118" s="6"/>
    </row>
    <row r="119" spans="3:14" ht="28.5" customHeight="1" collapsed="1">
      <c r="C119" s="377"/>
      <c r="D119" s="8" t="s">
        <v>134</v>
      </c>
      <c r="E119" s="28">
        <f>[38]Лист1!O735</f>
        <v>53.333333333333336</v>
      </c>
      <c r="F119" s="28"/>
      <c r="G119" s="28"/>
      <c r="H119" s="28"/>
      <c r="I119" s="28">
        <v>300</v>
      </c>
      <c r="J119" s="28">
        <f>[38]Лист1!P600*1000</f>
        <v>3861.1111111111109</v>
      </c>
      <c r="K119" s="28"/>
      <c r="L119" s="28">
        <f>2200/10500</f>
        <v>0.20952380952380953</v>
      </c>
      <c r="M119" s="28"/>
      <c r="N119" s="28">
        <f>20000/10500</f>
        <v>1.9047619047619047</v>
      </c>
    </row>
    <row r="120" spans="3:14" ht="28.5">
      <c r="C120" s="377"/>
      <c r="D120" s="8" t="s">
        <v>135</v>
      </c>
      <c r="E120" s="29">
        <f>[38]Лист1!P823</f>
        <v>25.5</v>
      </c>
      <c r="F120" s="29">
        <f>E37</f>
        <v>0</v>
      </c>
      <c r="G120" s="29"/>
      <c r="H120" s="29"/>
      <c r="I120" s="29">
        <f>[38]Лист1!P823</f>
        <v>25.5</v>
      </c>
      <c r="J120" s="29">
        <f>[38]Лист1!P824</f>
        <v>2.4500000000000002</v>
      </c>
      <c r="K120" s="28"/>
      <c r="L120" s="28">
        <f>[38]Лист1!P825</f>
        <v>0.35</v>
      </c>
      <c r="M120" s="28"/>
      <c r="N120" s="30">
        <f>1</f>
        <v>1</v>
      </c>
    </row>
    <row r="121" spans="3:14" ht="30">
      <c r="C121" s="377"/>
      <c r="D121" s="8" t="s">
        <v>136</v>
      </c>
      <c r="E121" s="11" t="s">
        <v>137</v>
      </c>
      <c r="F121" s="11"/>
      <c r="G121" s="11" t="s">
        <v>138</v>
      </c>
      <c r="H121" s="11"/>
      <c r="I121" s="11" t="s">
        <v>139</v>
      </c>
      <c r="J121" s="11" t="s">
        <v>140</v>
      </c>
      <c r="K121" s="11" t="s">
        <v>141</v>
      </c>
      <c r="L121" s="11"/>
      <c r="M121" s="11"/>
      <c r="N121" s="11" t="s">
        <v>141</v>
      </c>
    </row>
    <row r="122" spans="3:14" ht="15">
      <c r="C122" s="377"/>
      <c r="D122" s="8" t="s">
        <v>142</v>
      </c>
      <c r="E122" s="14">
        <f>[38]Лист1!O481+[38]Лист1!P547</f>
        <v>585216</v>
      </c>
      <c r="F122" s="14"/>
      <c r="G122" s="14">
        <v>12500</v>
      </c>
      <c r="H122" s="14"/>
      <c r="I122" s="14"/>
      <c r="J122" s="11"/>
      <c r="K122" s="11" t="s">
        <v>143</v>
      </c>
      <c r="L122" s="11"/>
      <c r="M122" s="11"/>
      <c r="N122" s="11" t="s">
        <v>143</v>
      </c>
    </row>
    <row r="123" spans="3:14" ht="15">
      <c r="C123" s="377"/>
      <c r="D123" s="8" t="s">
        <v>144</v>
      </c>
      <c r="E123" s="31">
        <f>450/[38]Input1!I2</f>
        <v>4.2857142857142858E-2</v>
      </c>
      <c r="F123" s="31"/>
      <c r="G123" s="13">
        <f>1800/10500</f>
        <v>0.17142857142857143</v>
      </c>
      <c r="H123" s="13"/>
      <c r="I123" s="13">
        <f>600/10500</f>
        <v>5.7142857142857141E-2</v>
      </c>
      <c r="J123" s="11">
        <v>660</v>
      </c>
      <c r="K123" s="11"/>
      <c r="L123" s="11"/>
      <c r="M123" s="11"/>
      <c r="N123" s="11"/>
    </row>
    <row r="124" spans="3:14" ht="14.25" hidden="1" outlineLevel="1">
      <c r="C124" s="377"/>
      <c r="D124" s="8"/>
      <c r="E124" s="392"/>
      <c r="F124" s="392"/>
      <c r="G124" s="392"/>
      <c r="H124" s="392"/>
      <c r="I124" s="392"/>
      <c r="J124" s="392"/>
      <c r="K124" s="392"/>
      <c r="L124" s="392"/>
      <c r="M124" s="392"/>
      <c r="N124" s="392"/>
    </row>
    <row r="125" spans="3:14" ht="14.25" hidden="1" outlineLevel="1">
      <c r="C125" s="377"/>
      <c r="D125" s="8"/>
      <c r="E125" s="392"/>
      <c r="F125" s="392"/>
      <c r="G125" s="392"/>
      <c r="H125" s="392"/>
      <c r="I125" s="392"/>
      <c r="J125" s="392"/>
      <c r="K125" s="392"/>
      <c r="L125" s="392"/>
      <c r="M125" s="392"/>
      <c r="N125" s="392"/>
    </row>
    <row r="126" spans="3:14" ht="14.25" hidden="1" outlineLevel="1">
      <c r="C126" s="377"/>
      <c r="D126" s="8"/>
      <c r="E126" s="392"/>
      <c r="F126" s="392"/>
      <c r="G126" s="392"/>
      <c r="H126" s="392"/>
      <c r="I126" s="392"/>
      <c r="J126" s="392"/>
      <c r="K126" s="392"/>
      <c r="L126" s="392"/>
      <c r="M126" s="392"/>
      <c r="N126" s="392"/>
    </row>
    <row r="127" spans="3:14" ht="33.75" collapsed="1">
      <c r="C127" s="377">
        <v>6</v>
      </c>
      <c r="D127" s="378" t="s">
        <v>145</v>
      </c>
      <c r="E127" s="378"/>
      <c r="F127" s="378"/>
      <c r="G127" s="378"/>
      <c r="H127" s="378"/>
      <c r="I127" s="378"/>
      <c r="J127" s="378"/>
      <c r="K127" s="378"/>
      <c r="L127" s="378"/>
      <c r="M127" s="378"/>
      <c r="N127" s="378"/>
    </row>
    <row r="128" spans="3:14" ht="25.5" customHeight="1">
      <c r="C128" s="377"/>
      <c r="D128" s="6" t="s">
        <v>146</v>
      </c>
      <c r="E128" s="388" t="str">
        <f>E10</f>
        <v>Города Республики Узбекистан</v>
      </c>
      <c r="F128" s="389"/>
      <c r="G128" s="389"/>
      <c r="H128" s="389"/>
      <c r="I128" s="389"/>
      <c r="J128" s="389"/>
      <c r="K128" s="389"/>
      <c r="L128" s="389"/>
      <c r="M128" s="389"/>
      <c r="N128" s="390"/>
    </row>
    <row r="129" spans="3:14" ht="33.75" customHeight="1">
      <c r="C129" s="377"/>
      <c r="D129" s="6" t="s">
        <v>147</v>
      </c>
      <c r="E129" s="388" t="s">
        <v>16</v>
      </c>
      <c r="F129" s="389"/>
      <c r="G129" s="389"/>
      <c r="H129" s="389"/>
      <c r="I129" s="389"/>
      <c r="J129" s="389"/>
      <c r="K129" s="389"/>
      <c r="L129" s="389"/>
      <c r="M129" s="389"/>
      <c r="N129" s="390"/>
    </row>
    <row r="130" spans="3:14" ht="18">
      <c r="C130" s="377"/>
      <c r="D130" s="382" t="s">
        <v>148</v>
      </c>
      <c r="E130" s="382"/>
      <c r="F130" s="382"/>
      <c r="G130" s="382"/>
      <c r="H130" s="382"/>
      <c r="I130" s="382"/>
      <c r="J130" s="382"/>
      <c r="K130" s="382"/>
      <c r="L130" s="382"/>
      <c r="M130" s="382"/>
      <c r="N130" s="382"/>
    </row>
    <row r="131" spans="3:14" ht="33.75" customHeight="1">
      <c r="C131" s="377"/>
      <c r="D131" s="8" t="s">
        <v>149</v>
      </c>
      <c r="E131" s="386" t="s">
        <v>150</v>
      </c>
      <c r="F131" s="386"/>
      <c r="G131" s="386"/>
      <c r="H131" s="386"/>
      <c r="I131" s="386"/>
      <c r="J131" s="386"/>
      <c r="K131" s="386"/>
      <c r="L131" s="386"/>
      <c r="M131" s="386"/>
      <c r="N131" s="386"/>
    </row>
    <row r="132" spans="3:14" ht="36.75" customHeight="1">
      <c r="C132" s="377"/>
      <c r="D132" s="8" t="s">
        <v>151</v>
      </c>
      <c r="E132" s="386" t="s">
        <v>152</v>
      </c>
      <c r="F132" s="386"/>
      <c r="G132" s="386"/>
      <c r="H132" s="386"/>
      <c r="I132" s="386"/>
      <c r="J132" s="386"/>
      <c r="K132" s="386"/>
      <c r="L132" s="386"/>
      <c r="M132" s="386"/>
      <c r="N132" s="386"/>
    </row>
    <row r="133" spans="3:14" ht="22.5" hidden="1" customHeight="1" outlineLevel="1">
      <c r="C133" s="377"/>
      <c r="D133" s="8" t="s">
        <v>153</v>
      </c>
      <c r="E133" s="386" t="s">
        <v>154</v>
      </c>
      <c r="F133" s="386"/>
      <c r="G133" s="386"/>
      <c r="H133" s="386"/>
      <c r="I133" s="386"/>
      <c r="J133" s="386"/>
      <c r="K133" s="386"/>
      <c r="L133" s="386"/>
      <c r="M133" s="386"/>
      <c r="N133" s="386"/>
    </row>
    <row r="134" spans="3:14" ht="15" hidden="1" customHeight="1" outlineLevel="1">
      <c r="C134" s="377"/>
      <c r="D134" s="8" t="s">
        <v>155</v>
      </c>
      <c r="E134" s="386" t="s">
        <v>154</v>
      </c>
      <c r="F134" s="386"/>
      <c r="G134" s="386"/>
      <c r="H134" s="386"/>
      <c r="I134" s="386"/>
      <c r="J134" s="386"/>
      <c r="K134" s="386"/>
      <c r="L134" s="386"/>
      <c r="M134" s="386"/>
      <c r="N134" s="386"/>
    </row>
    <row r="135" spans="3:14" ht="15" hidden="1" outlineLevel="1">
      <c r="C135" s="377"/>
      <c r="D135" s="8" t="s">
        <v>156</v>
      </c>
      <c r="E135" s="386" t="s">
        <v>16</v>
      </c>
      <c r="F135" s="386"/>
      <c r="G135" s="386"/>
      <c r="H135" s="386"/>
      <c r="I135" s="386"/>
      <c r="J135" s="386"/>
      <c r="K135" s="386"/>
      <c r="L135" s="386"/>
      <c r="M135" s="386"/>
      <c r="N135" s="386"/>
    </row>
    <row r="136" spans="3:14" ht="15" hidden="1" outlineLevel="1">
      <c r="C136" s="377"/>
      <c r="D136" s="8" t="s">
        <v>156</v>
      </c>
      <c r="E136" s="386" t="s">
        <v>16</v>
      </c>
      <c r="F136" s="386"/>
      <c r="G136" s="386"/>
      <c r="H136" s="386"/>
      <c r="I136" s="386"/>
      <c r="J136" s="386"/>
      <c r="K136" s="386"/>
      <c r="L136" s="386"/>
      <c r="M136" s="386"/>
      <c r="N136" s="386"/>
    </row>
    <row r="137" spans="3:14" ht="15" hidden="1" outlineLevel="1">
      <c r="C137" s="377"/>
      <c r="D137" s="9" t="s">
        <v>157</v>
      </c>
      <c r="E137" s="386">
        <f>H128</f>
        <v>0</v>
      </c>
      <c r="F137" s="386"/>
      <c r="G137" s="386"/>
      <c r="H137" s="386"/>
      <c r="I137" s="386"/>
      <c r="J137" s="386"/>
      <c r="K137" s="386"/>
      <c r="L137" s="386"/>
      <c r="M137" s="386"/>
      <c r="N137" s="386"/>
    </row>
    <row r="138" spans="3:14" ht="15" hidden="1" outlineLevel="1">
      <c r="C138" s="377"/>
      <c r="D138" s="9" t="s">
        <v>158</v>
      </c>
      <c r="E138" s="386" t="s">
        <v>16</v>
      </c>
      <c r="F138" s="386"/>
      <c r="G138" s="386"/>
      <c r="H138" s="386"/>
      <c r="I138" s="386"/>
      <c r="J138" s="386"/>
      <c r="K138" s="386"/>
      <c r="L138" s="386"/>
      <c r="M138" s="386"/>
      <c r="N138" s="386"/>
    </row>
    <row r="139" spans="3:14" ht="15" hidden="1" outlineLevel="1">
      <c r="C139" s="377"/>
      <c r="D139" s="32" t="s">
        <v>159</v>
      </c>
      <c r="E139" s="386" t="s">
        <v>154</v>
      </c>
      <c r="F139" s="386"/>
      <c r="G139" s="386"/>
      <c r="H139" s="386"/>
      <c r="I139" s="386"/>
      <c r="J139" s="386"/>
      <c r="K139" s="386"/>
      <c r="L139" s="386"/>
      <c r="M139" s="386"/>
      <c r="N139" s="386"/>
    </row>
    <row r="140" spans="3:14" ht="15" collapsed="1">
      <c r="C140" s="377"/>
      <c r="D140" s="32" t="s">
        <v>160</v>
      </c>
      <c r="E140" s="386" t="s">
        <v>161</v>
      </c>
      <c r="F140" s="386"/>
      <c r="G140" s="386"/>
      <c r="H140" s="386"/>
      <c r="I140" s="386"/>
      <c r="J140" s="386"/>
      <c r="K140" s="386"/>
      <c r="L140" s="386"/>
      <c r="M140" s="386"/>
      <c r="N140" s="386"/>
    </row>
    <row r="141" spans="3:14" ht="25.5">
      <c r="C141" s="377"/>
      <c r="D141" s="32" t="s">
        <v>162</v>
      </c>
      <c r="E141" s="386" t="s">
        <v>16</v>
      </c>
      <c r="F141" s="386"/>
      <c r="G141" s="386"/>
      <c r="H141" s="386"/>
      <c r="I141" s="386"/>
      <c r="J141" s="386"/>
      <c r="K141" s="386"/>
      <c r="L141" s="386"/>
      <c r="M141" s="386"/>
      <c r="N141" s="386"/>
    </row>
    <row r="142" spans="3:14" ht="15">
      <c r="C142" s="377"/>
      <c r="D142" s="32" t="s">
        <v>163</v>
      </c>
      <c r="E142" s="386" t="s">
        <v>154</v>
      </c>
      <c r="F142" s="386"/>
      <c r="G142" s="386"/>
      <c r="H142" s="386"/>
      <c r="I142" s="386"/>
      <c r="J142" s="386"/>
      <c r="K142" s="386"/>
      <c r="L142" s="386"/>
      <c r="M142" s="386"/>
      <c r="N142" s="386"/>
    </row>
    <row r="143" spans="3:14" ht="15">
      <c r="C143" s="377"/>
      <c r="D143" s="32" t="s">
        <v>164</v>
      </c>
      <c r="E143" s="387">
        <f>SUM(E144:N147)</f>
        <v>5.2500000000000005E-2</v>
      </c>
      <c r="F143" s="387"/>
      <c r="G143" s="387"/>
      <c r="H143" s="387"/>
      <c r="I143" s="387"/>
      <c r="J143" s="387"/>
      <c r="K143" s="387"/>
      <c r="L143" s="387"/>
      <c r="M143" s="387"/>
      <c r="N143" s="387"/>
    </row>
    <row r="144" spans="3:14" ht="15">
      <c r="C144" s="377"/>
      <c r="D144" s="33" t="s">
        <v>165</v>
      </c>
      <c r="E144" s="386">
        <f>E112/10000</f>
        <v>3.5000000000000003E-2</v>
      </c>
      <c r="F144" s="386"/>
      <c r="G144" s="386"/>
      <c r="H144" s="386"/>
      <c r="I144" s="386"/>
      <c r="J144" s="386"/>
      <c r="K144" s="386"/>
      <c r="L144" s="386"/>
      <c r="M144" s="386"/>
      <c r="N144" s="386"/>
    </row>
    <row r="145" spans="3:14" ht="15">
      <c r="C145" s="377"/>
      <c r="D145" s="33" t="s">
        <v>166</v>
      </c>
      <c r="E145" s="386">
        <f>E144/2</f>
        <v>1.7500000000000002E-2</v>
      </c>
      <c r="F145" s="386"/>
      <c r="G145" s="386"/>
      <c r="H145" s="386"/>
      <c r="I145" s="386"/>
      <c r="J145" s="386"/>
      <c r="K145" s="386"/>
      <c r="L145" s="386"/>
      <c r="M145" s="386"/>
      <c r="N145" s="386"/>
    </row>
    <row r="146" spans="3:14" ht="15" hidden="1" customHeight="1" outlineLevel="1">
      <c r="C146" s="377"/>
      <c r="D146" s="33" t="s">
        <v>167</v>
      </c>
      <c r="E146" s="386"/>
      <c r="F146" s="386"/>
      <c r="G146" s="386"/>
      <c r="H146" s="386"/>
      <c r="I146" s="386"/>
      <c r="J146" s="386"/>
      <c r="K146" s="386"/>
      <c r="L146" s="386"/>
      <c r="M146" s="386"/>
      <c r="N146" s="386"/>
    </row>
    <row r="147" spans="3:14" ht="15" hidden="1" customHeight="1" outlineLevel="1">
      <c r="C147" s="377"/>
      <c r="D147" s="33" t="s">
        <v>168</v>
      </c>
      <c r="E147" s="387"/>
      <c r="F147" s="387"/>
      <c r="G147" s="387"/>
      <c r="H147" s="387"/>
      <c r="I147" s="387"/>
      <c r="J147" s="387"/>
      <c r="K147" s="387"/>
      <c r="L147" s="387"/>
      <c r="M147" s="387"/>
      <c r="N147" s="387"/>
    </row>
    <row r="148" spans="3:14" ht="18" hidden="1" customHeight="1" outlineLevel="1" collapsed="1">
      <c r="C148" s="377"/>
      <c r="D148" s="32" t="s">
        <v>169</v>
      </c>
      <c r="E148" s="382">
        <f>E14</f>
        <v>0</v>
      </c>
      <c r="F148" s="382"/>
      <c r="G148" s="382"/>
      <c r="H148" s="382"/>
      <c r="I148" s="382"/>
      <c r="J148" s="382"/>
      <c r="K148" s="382"/>
      <c r="L148" s="382"/>
      <c r="M148" s="382"/>
      <c r="N148" s="382"/>
    </row>
    <row r="149" spans="3:14" ht="33.75" collapsed="1">
      <c r="C149" s="377">
        <v>7</v>
      </c>
      <c r="D149" s="378" t="s">
        <v>170</v>
      </c>
      <c r="E149" s="378"/>
      <c r="F149" s="378"/>
      <c r="G149" s="378"/>
      <c r="H149" s="378"/>
      <c r="I149" s="378"/>
      <c r="J149" s="378"/>
      <c r="K149" s="378"/>
      <c r="L149" s="378"/>
      <c r="M149" s="378"/>
      <c r="N149" s="378"/>
    </row>
    <row r="150" spans="3:14" s="34" customFormat="1" ht="18" collapsed="1">
      <c r="C150" s="377"/>
      <c r="D150" s="11" t="s">
        <v>171</v>
      </c>
      <c r="E150" s="383">
        <f>'[38]Project Cost (2)'!F18</f>
        <v>457800.68571428576</v>
      </c>
      <c r="F150" s="383"/>
      <c r="G150" s="383"/>
      <c r="H150" s="383"/>
      <c r="I150" s="383"/>
      <c r="J150" s="383"/>
      <c r="K150" s="383"/>
      <c r="L150" s="383"/>
      <c r="M150" s="383"/>
      <c r="N150" s="383"/>
    </row>
    <row r="151" spans="3:14" s="34" customFormat="1" ht="57.75" customHeight="1">
      <c r="C151" s="377"/>
      <c r="D151" s="11" t="str">
        <f>'[38]Project Cost (2)'!C6</f>
        <v>Показатели</v>
      </c>
      <c r="E151" s="35" t="str">
        <f>'[38]Project Cost (2)'!D6</f>
        <v>Затраты в национальной валюте</v>
      </c>
      <c r="F151" s="35" t="str">
        <f>'[38]Project Cost (2)'!E6</f>
        <v>Затраты в СКВ</v>
      </c>
      <c r="G151" s="35" t="str">
        <f>'[38]Project Cost (2)'!F6</f>
        <v xml:space="preserve">Всего </v>
      </c>
      <c r="H151" s="35" t="str">
        <f>'[38]Project Cost (2)'!G6</f>
        <v xml:space="preserve">Структура </v>
      </c>
      <c r="I151" s="384"/>
      <c r="J151" s="384"/>
      <c r="K151" s="35" t="str">
        <f>'[38]Project Cost (2)'!J6</f>
        <v xml:space="preserve">Займ / кредит </v>
      </c>
      <c r="L151" s="35" t="str">
        <f>'[38]Project Cost (2)'!L7</f>
        <v>Местный инвестор</v>
      </c>
      <c r="M151" s="35" t="str">
        <f>'[38]Project Cost (2)'!M7</f>
        <v>Иностранный инвестор</v>
      </c>
      <c r="N151" s="383"/>
    </row>
    <row r="152" spans="3:14" s="34" customFormat="1" ht="18" customHeight="1">
      <c r="C152" s="377"/>
      <c r="D152" s="36" t="str">
        <f>'[38]Project Cost (2)'!C8</f>
        <v>Проектирование</v>
      </c>
      <c r="E152" s="14">
        <f>'[38]Project Cost (2)'!D8</f>
        <v>5250</v>
      </c>
      <c r="F152" s="14">
        <f>'[38]Project Cost (2)'!E8</f>
        <v>0</v>
      </c>
      <c r="G152" s="14">
        <f>'[38]Project Cost (2)'!F8</f>
        <v>5250</v>
      </c>
      <c r="H152" s="37">
        <f>'[38]Project Cost (2)'!G8</f>
        <v>1.5888804596959034E-2</v>
      </c>
      <c r="I152" s="384"/>
      <c r="J152" s="384"/>
      <c r="K152" s="14">
        <f>'[38]Project Cost (2)'!J8+'[38]Project Cost (2)'!K8</f>
        <v>0</v>
      </c>
      <c r="L152" s="14">
        <f>'[38]Project Cost (2)'!L8</f>
        <v>5250</v>
      </c>
      <c r="M152" s="14">
        <f>'[38]Project Cost (2)'!M8</f>
        <v>0</v>
      </c>
      <c r="N152" s="383"/>
    </row>
    <row r="153" spans="3:14" s="34" customFormat="1" ht="30" customHeight="1">
      <c r="C153" s="377"/>
      <c r="D153" s="36" t="str">
        <f>'[38]Project Cost (2)'!C9</f>
        <v>Здания, сооружения, земля</v>
      </c>
      <c r="E153" s="14">
        <f>'[38]Project Cost (2)'!D9</f>
        <v>105000</v>
      </c>
      <c r="F153" s="14">
        <f>'[38]Project Cost (2)'!E9</f>
        <v>0</v>
      </c>
      <c r="G153" s="14">
        <f>'[38]Project Cost (2)'!F9</f>
        <v>105000</v>
      </c>
      <c r="H153" s="37">
        <f>'[38]Project Cost (2)'!G9</f>
        <v>0.31777609193918066</v>
      </c>
      <c r="I153" s="384"/>
      <c r="J153" s="384"/>
      <c r="K153" s="14">
        <f>'[38]Project Cost (2)'!J9+'[38]Project Cost (2)'!K9</f>
        <v>0</v>
      </c>
      <c r="L153" s="14">
        <f>'[38]Project Cost (2)'!L9</f>
        <v>105000</v>
      </c>
      <c r="M153" s="14">
        <f>'[38]Project Cost (2)'!M9</f>
        <v>0</v>
      </c>
      <c r="N153" s="383"/>
    </row>
    <row r="154" spans="3:14" s="34" customFormat="1" ht="30" customHeight="1">
      <c r="C154" s="377"/>
      <c r="D154" s="36" t="str">
        <f>'[38]Project Cost (2)'!C10</f>
        <v>Основное оборудование</v>
      </c>
      <c r="E154" s="14">
        <f>'[38]Project Cost (2)'!D10</f>
        <v>0</v>
      </c>
      <c r="F154" s="14">
        <f>'[38]Project Cost (2)'!E10</f>
        <v>191466.66666666669</v>
      </c>
      <c r="G154" s="14">
        <f>'[38]Project Cost (2)'!F10</f>
        <v>191466.66666666669</v>
      </c>
      <c r="H154" s="37">
        <f>'[38]Project Cost (2)'!G10</f>
        <v>0.57946218161862029</v>
      </c>
      <c r="I154" s="384"/>
      <c r="J154" s="384"/>
      <c r="K154" s="14">
        <f>'[38]Project Cost (2)'!J10+'[38]Project Cost (2)'!K10</f>
        <v>0</v>
      </c>
      <c r="L154" s="14">
        <f>'[38]Project Cost (2)'!L10</f>
        <v>0</v>
      </c>
      <c r="M154" s="14">
        <f>'[38]Project Cost (2)'!M10</f>
        <v>191466.66666666669</v>
      </c>
      <c r="N154" s="383"/>
    </row>
    <row r="155" spans="3:14" s="34" customFormat="1" ht="18" customHeight="1">
      <c r="C155" s="377"/>
      <c r="D155" s="36" t="str">
        <f>'[38]Project Cost (2)'!C11</f>
        <v xml:space="preserve">Вспомогательное оборудование </v>
      </c>
      <c r="E155" s="14">
        <f>'[38]Project Cost (2)'!D11</f>
        <v>9573.3333333333339</v>
      </c>
      <c r="F155" s="14">
        <f>'[38]Project Cost (2)'!E11</f>
        <v>0</v>
      </c>
      <c r="G155" s="14">
        <f>'[38]Project Cost (2)'!F11</f>
        <v>9573.3333333333339</v>
      </c>
      <c r="H155" s="37">
        <f>'[38]Project Cost (2)'!G11</f>
        <v>2.8973109080931012E-2</v>
      </c>
      <c r="I155" s="384"/>
      <c r="J155" s="384"/>
      <c r="K155" s="14">
        <f>'[38]Project Cost (2)'!J11+'[38]Project Cost (2)'!K11</f>
        <v>0</v>
      </c>
      <c r="L155" s="14">
        <f>'[38]Project Cost (2)'!L11</f>
        <v>9573.3333333333339</v>
      </c>
      <c r="M155" s="14">
        <f>'[38]Project Cost (2)'!M11</f>
        <v>0</v>
      </c>
      <c r="N155" s="383"/>
    </row>
    <row r="156" spans="3:14" s="34" customFormat="1" ht="30" customHeight="1">
      <c r="C156" s="377"/>
      <c r="D156" s="36" t="str">
        <f>'[38]Project Cost (2)'!C12</f>
        <v>Транспортные расходы, шеф-монтаж, обучение</v>
      </c>
      <c r="E156" s="14">
        <f>'[38]Project Cost (2)'!D12</f>
        <v>0</v>
      </c>
      <c r="F156" s="14">
        <f>'[38]Project Cost (2)'!E12</f>
        <v>13402.66666666667</v>
      </c>
      <c r="G156" s="14">
        <f>'[38]Project Cost (2)'!F12</f>
        <v>13402.66666666667</v>
      </c>
      <c r="H156" s="37">
        <f>'[38]Project Cost (2)'!G12</f>
        <v>4.0562352713303426E-2</v>
      </c>
      <c r="I156" s="384"/>
      <c r="J156" s="384"/>
      <c r="K156" s="14">
        <f>'[38]Project Cost (2)'!J12+'[38]Project Cost (2)'!K12</f>
        <v>0</v>
      </c>
      <c r="L156" s="14">
        <f>'[38]Project Cost (2)'!L12</f>
        <v>0</v>
      </c>
      <c r="M156" s="14">
        <f>'[38]Project Cost (2)'!M12</f>
        <v>13402.66666666667</v>
      </c>
      <c r="N156" s="383"/>
    </row>
    <row r="157" spans="3:14" s="34" customFormat="1" ht="18" customHeight="1">
      <c r="C157" s="377"/>
      <c r="D157" s="36" t="str">
        <f>'[38]Project Cost (2)'!C13</f>
        <v xml:space="preserve">Прочие фиксированные активы </v>
      </c>
      <c r="E157" s="14">
        <f>'[38]Project Cost (2)'!D13</f>
        <v>5728.666666666667</v>
      </c>
      <c r="F157" s="14">
        <f>'[38]Project Cost (2)'!E13</f>
        <v>0</v>
      </c>
      <c r="G157" s="14">
        <f>'[38]Project Cost (2)'!F13</f>
        <v>5728.666666666667</v>
      </c>
      <c r="H157" s="37">
        <f>'[38]Project Cost (2)'!G13</f>
        <v>1.7337460051005584E-2</v>
      </c>
      <c r="I157" s="384"/>
      <c r="J157" s="384"/>
      <c r="K157" s="14">
        <f>'[38]Project Cost (2)'!J13+'[38]Project Cost (2)'!K13</f>
        <v>0</v>
      </c>
      <c r="L157" s="14">
        <f>'[38]Project Cost (2)'!L13</f>
        <v>5728.666666666667</v>
      </c>
      <c r="M157" s="14">
        <f>'[38]Project Cost (2)'!M13</f>
        <v>0</v>
      </c>
      <c r="N157" s="383"/>
    </row>
    <row r="158" spans="3:14" s="34" customFormat="1" ht="18" customHeight="1">
      <c r="C158" s="377"/>
      <c r="D158" s="36" t="str">
        <f>'[38]Project Cost (2)'!C14</f>
        <v>Всего Фиксированные Активы</v>
      </c>
      <c r="E158" s="14">
        <f>'[38]Project Cost (2)'!D14</f>
        <v>125552</v>
      </c>
      <c r="F158" s="14">
        <f>'[38]Project Cost (2)'!E14</f>
        <v>204869.33333333334</v>
      </c>
      <c r="G158" s="14">
        <f>'[38]Project Cost (2)'!F14</f>
        <v>330421.33333333337</v>
      </c>
      <c r="H158" s="37">
        <f>'[38]Project Cost (2)'!G14</f>
        <v>1</v>
      </c>
      <c r="I158" s="384"/>
      <c r="J158" s="384"/>
      <c r="K158" s="14">
        <f>'[38]Project Cost (2)'!J14+'[38]Project Cost (2)'!K14</f>
        <v>0</v>
      </c>
      <c r="L158" s="14">
        <f>'[38]Project Cost (2)'!L14</f>
        <v>125552</v>
      </c>
      <c r="M158" s="14">
        <f>'[38]Project Cost (2)'!M14</f>
        <v>204869.33333333334</v>
      </c>
      <c r="N158" s="383"/>
    </row>
    <row r="159" spans="3:14" s="34" customFormat="1" ht="18" customHeight="1">
      <c r="C159" s="377"/>
      <c r="D159" s="36" t="str">
        <f>'[38]Project Cost (2)'!C15</f>
        <v>структура</v>
      </c>
      <c r="E159" s="37">
        <f>'[38]Project Cost (2)'!D15</f>
        <v>0.37997546566807627</v>
      </c>
      <c r="F159" s="37">
        <f>'[38]Project Cost (2)'!E15</f>
        <v>0.62002453433192362</v>
      </c>
      <c r="G159" s="37">
        <f>'[38]Project Cost (2)'!F15</f>
        <v>1</v>
      </c>
      <c r="H159" s="37">
        <f>'[38]Project Cost (2)'!G15</f>
        <v>0</v>
      </c>
      <c r="I159" s="384"/>
      <c r="J159" s="384"/>
      <c r="K159" s="14">
        <f>'[38]Project Cost (2)'!J15+'[38]Project Cost (2)'!K15</f>
        <v>0</v>
      </c>
      <c r="L159" s="14">
        <f>'[38]Project Cost (2)'!L15</f>
        <v>0.37997546566807627</v>
      </c>
      <c r="M159" s="14">
        <f>'[38]Project Cost (2)'!M15</f>
        <v>0.62002453433192362</v>
      </c>
      <c r="N159" s="383"/>
    </row>
    <row r="160" spans="3:14" s="34" customFormat="1" ht="30" customHeight="1">
      <c r="C160" s="377"/>
      <c r="D160" s="36" t="str">
        <f>'[38]Project Cost (2)'!C16</f>
        <v xml:space="preserve">Запасы сырья и материалов </v>
      </c>
      <c r="E160" s="14">
        <f>'[38]Project Cost (2)'!D16</f>
        <v>120770.92571428569</v>
      </c>
      <c r="F160" s="14">
        <f>'[38]Project Cost (2)'!E16</f>
        <v>0</v>
      </c>
      <c r="G160" s="14">
        <f>'[38]Project Cost (2)'!F16</f>
        <v>120770.92571428569</v>
      </c>
      <c r="H160" s="37">
        <f>'[38]Project Cost (2)'!G16</f>
        <v>0.26380678204064345</v>
      </c>
      <c r="I160" s="384"/>
      <c r="J160" s="384"/>
      <c r="K160" s="14">
        <f>'[38]Project Cost (2)'!J16+'[38]Project Cost (2)'!K16</f>
        <v>0</v>
      </c>
      <c r="L160" s="14">
        <f>'[38]Project Cost (2)'!L16</f>
        <v>120770.92571428569</v>
      </c>
      <c r="M160" s="14">
        <f>'[38]Project Cost (2)'!M16</f>
        <v>0</v>
      </c>
      <c r="N160" s="383"/>
    </row>
    <row r="161" spans="3:14" s="34" customFormat="1" ht="18" customHeight="1">
      <c r="C161" s="377"/>
      <c r="D161" s="36" t="str">
        <f>'[38]Project Cost (2)'!C17</f>
        <v>Финансовые издержки</v>
      </c>
      <c r="E161" s="14">
        <f>'[38]Project Cost (2)'!D17</f>
        <v>2511.04</v>
      </c>
      <c r="F161" s="14">
        <f>'[38]Project Cost (2)'!E17</f>
        <v>4097.3866666666672</v>
      </c>
      <c r="G161" s="14">
        <f>'[38]Project Cost (2)'!F17</f>
        <v>6608.4266666666672</v>
      </c>
      <c r="H161" s="37">
        <f>'[38]Project Cost (2)'!G17</f>
        <v>1.443516113645797E-2</v>
      </c>
      <c r="I161" s="384"/>
      <c r="J161" s="384"/>
      <c r="K161" s="14">
        <f>'[38]Project Cost (2)'!J17+'[38]Project Cost (2)'!K17</f>
        <v>0</v>
      </c>
      <c r="L161" s="14">
        <f>'[38]Project Cost (2)'!L17</f>
        <v>2511.04</v>
      </c>
      <c r="M161" s="14">
        <f>'[38]Project Cost (2)'!M17</f>
        <v>4097.3866666666672</v>
      </c>
      <c r="N161" s="383"/>
    </row>
    <row r="162" spans="3:14" s="34" customFormat="1" ht="18" customHeight="1">
      <c r="C162" s="377"/>
      <c r="D162" s="36" t="str">
        <f>'[38]Project Cost (2)'!C18</f>
        <v>ВСЕГО ПЕРВОНАЧАЛЬНАЯ СТОИМОСТЬ ПРОЕКТА</v>
      </c>
      <c r="E162" s="14">
        <f>'[38]Project Cost (2)'!D18</f>
        <v>248833.9657142857</v>
      </c>
      <c r="F162" s="14">
        <f>'[38]Project Cost (2)'!E18</f>
        <v>208966.72</v>
      </c>
      <c r="G162" s="14">
        <f>'[38]Project Cost (2)'!F18</f>
        <v>457800.68571428576</v>
      </c>
      <c r="H162" s="37">
        <f>'[38]Project Cost (2)'!G18</f>
        <v>1</v>
      </c>
      <c r="I162" s="384"/>
      <c r="J162" s="384"/>
      <c r="K162" s="14">
        <f>'[38]Project Cost (2)'!J18+'[38]Project Cost (2)'!K18</f>
        <v>0</v>
      </c>
      <c r="L162" s="14">
        <f>'[38]Project Cost (2)'!L18</f>
        <v>248833.9657142857</v>
      </c>
      <c r="M162" s="14">
        <f>'[38]Project Cost (2)'!M18</f>
        <v>208966.72</v>
      </c>
      <c r="N162" s="383"/>
    </row>
    <row r="163" spans="3:14" s="34" customFormat="1" ht="18" customHeight="1">
      <c r="C163" s="377"/>
      <c r="D163" s="36" t="str">
        <f>'[38]Project Cost (2)'!C19</f>
        <v>Структура</v>
      </c>
      <c r="E163" s="37">
        <f>'[38]Project Cost (2)'!D19</f>
        <v>0.54354214285642954</v>
      </c>
      <c r="F163" s="37">
        <f>'[38]Project Cost (2)'!E19</f>
        <v>0.45645785714357034</v>
      </c>
      <c r="G163" s="37">
        <f>'[38]Project Cost (2)'!F19</f>
        <v>1</v>
      </c>
      <c r="H163" s="37">
        <f>'[38]Project Cost (2)'!G19</f>
        <v>0</v>
      </c>
      <c r="I163" s="384"/>
      <c r="J163" s="384"/>
      <c r="K163" s="37">
        <f>'[38]Project Cost (2)'!J19+'[38]Project Cost (2)'!K19</f>
        <v>0</v>
      </c>
      <c r="L163" s="37">
        <f>'[38]Project Cost (2)'!L19</f>
        <v>0.54354214285642954</v>
      </c>
      <c r="M163" s="37">
        <f>'[38]Project Cost (2)'!M19</f>
        <v>0.45645785714357034</v>
      </c>
      <c r="N163" s="383"/>
    </row>
    <row r="164" spans="3:14" s="34" customFormat="1" ht="18">
      <c r="C164" s="377"/>
      <c r="D164" s="9" t="s">
        <v>172</v>
      </c>
      <c r="E164" s="383">
        <f>'[38]Project Cost (2)'!L18+'[38]Project Cost (2)'!M18</f>
        <v>457800.6857142857</v>
      </c>
      <c r="F164" s="383"/>
      <c r="G164" s="383"/>
      <c r="H164" s="383"/>
      <c r="I164" s="383"/>
      <c r="J164" s="383"/>
      <c r="K164" s="383"/>
      <c r="L164" s="383"/>
      <c r="M164" s="383"/>
      <c r="N164" s="383"/>
    </row>
    <row r="165" spans="3:14" s="34" customFormat="1" ht="18">
      <c r="C165" s="377"/>
      <c r="D165" s="36" t="s">
        <v>173</v>
      </c>
      <c r="E165" s="385">
        <f>'[38]Project Cost (2)'!L18</f>
        <v>248833.9657142857</v>
      </c>
      <c r="F165" s="385"/>
      <c r="G165" s="385"/>
      <c r="H165" s="385"/>
      <c r="I165" s="385"/>
      <c r="J165" s="385"/>
      <c r="K165" s="385"/>
      <c r="L165" s="385"/>
      <c r="M165" s="385"/>
      <c r="N165" s="385"/>
    </row>
    <row r="166" spans="3:14" s="34" customFormat="1" ht="18">
      <c r="C166" s="377"/>
      <c r="D166" s="36" t="s">
        <v>174</v>
      </c>
      <c r="E166" s="385">
        <f>'[38]Project Cost (2)'!M18</f>
        <v>208966.72</v>
      </c>
      <c r="F166" s="385"/>
      <c r="G166" s="385"/>
      <c r="H166" s="385"/>
      <c r="I166" s="385"/>
      <c r="J166" s="385"/>
      <c r="K166" s="385"/>
      <c r="L166" s="385"/>
      <c r="M166" s="385"/>
      <c r="N166" s="385"/>
    </row>
    <row r="167" spans="3:14" s="34" customFormat="1" ht="18">
      <c r="C167" s="377"/>
      <c r="D167" s="9" t="s">
        <v>175</v>
      </c>
      <c r="E167" s="375">
        <f>'[38]Project Cost (2)'!J18+'[38]Project Cost (2)'!K18</f>
        <v>0</v>
      </c>
      <c r="F167" s="375"/>
      <c r="G167" s="375"/>
      <c r="H167" s="375"/>
      <c r="I167" s="375"/>
      <c r="J167" s="375"/>
      <c r="K167" s="375"/>
      <c r="L167" s="375"/>
      <c r="M167" s="375"/>
      <c r="N167" s="375"/>
    </row>
    <row r="168" spans="3:14" s="34" customFormat="1" ht="27" customHeight="1">
      <c r="C168" s="377"/>
      <c r="D168" s="9" t="s">
        <v>176</v>
      </c>
      <c r="E168" s="375"/>
      <c r="F168" s="375"/>
      <c r="G168" s="375"/>
      <c r="H168" s="375"/>
      <c r="I168" s="375"/>
      <c r="J168" s="375"/>
      <c r="K168" s="375"/>
      <c r="L168" s="375"/>
      <c r="M168" s="375"/>
      <c r="N168" s="375"/>
    </row>
    <row r="169" spans="3:14" s="34" customFormat="1" ht="18">
      <c r="C169" s="377"/>
      <c r="D169" s="36" t="s">
        <v>177</v>
      </c>
      <c r="E169" s="22" t="s">
        <v>178</v>
      </c>
      <c r="F169" s="22" t="s">
        <v>179</v>
      </c>
      <c r="G169" s="22" t="s">
        <v>180</v>
      </c>
      <c r="H169" s="22" t="s">
        <v>181</v>
      </c>
      <c r="I169" s="22" t="s">
        <v>182</v>
      </c>
      <c r="J169" s="22" t="s">
        <v>183</v>
      </c>
      <c r="K169" s="22" t="s">
        <v>184</v>
      </c>
      <c r="L169" s="22" t="s">
        <v>185</v>
      </c>
      <c r="M169" s="22" t="s">
        <v>186</v>
      </c>
      <c r="N169" s="22" t="s">
        <v>187</v>
      </c>
    </row>
    <row r="170" spans="3:14" s="34" customFormat="1" ht="15">
      <c r="C170" s="377"/>
      <c r="D170" s="36" t="s">
        <v>188</v>
      </c>
      <c r="E170" s="38">
        <f>'[38]NPV-IRR-PI-DPP (2)'!E11</f>
        <v>0</v>
      </c>
      <c r="F170" s="38">
        <f>'[38]NPV-IRR-PI-DPP (2)'!E12</f>
        <v>699555.83999999997</v>
      </c>
      <c r="G170" s="38">
        <f>'[38]NPV-IRR-PI-DPP (2)'!E13</f>
        <v>749524.11428571434</v>
      </c>
      <c r="H170" s="38">
        <f>'[38]NPV-IRR-PI-DPP (2)'!E14</f>
        <v>799492.3885714286</v>
      </c>
      <c r="I170" s="38">
        <f>'[38]NPV-IRR-PI-DPP (2)'!E15</f>
        <v>849460.66285714298</v>
      </c>
      <c r="J170" s="38">
        <f>'[38]NPV-IRR-PI-DPP (2)'!E16</f>
        <v>899428.93714285723</v>
      </c>
      <c r="K170" s="38">
        <f>'[38]NPV-IRR-PI-DPP (2)'!E17</f>
        <v>899928.61988571426</v>
      </c>
      <c r="L170" s="38">
        <f>'[38]NPV-IRR-PI-DPP (2)'!E18</f>
        <v>900428.3026285714</v>
      </c>
      <c r="M170" s="38">
        <f>'[38]NPV-IRR-PI-DPP (2)'!E19</f>
        <v>900927.98537142843</v>
      </c>
      <c r="N170" s="38">
        <f>'[38]NPV-IRR-PI-DPP (2)'!E20</f>
        <v>901427.66811428557</v>
      </c>
    </row>
    <row r="171" spans="3:14" s="34" customFormat="1" ht="15">
      <c r="C171" s="377"/>
      <c r="D171" s="36" t="s">
        <v>189</v>
      </c>
      <c r="E171" s="38">
        <f>E170-E172</f>
        <v>457800.6857142857</v>
      </c>
      <c r="F171" s="38">
        <f t="shared" ref="F171:N171" si="1">F170-F172</f>
        <v>548659.91603809525</v>
      </c>
      <c r="G171" s="38">
        <f t="shared" si="1"/>
        <v>582662.68403809529</v>
      </c>
      <c r="H171" s="38">
        <f t="shared" si="1"/>
        <v>616665.45203809533</v>
      </c>
      <c r="I171" s="38">
        <f t="shared" si="1"/>
        <v>650668.22003809537</v>
      </c>
      <c r="J171" s="38">
        <f t="shared" si="1"/>
        <v>684670.9880380953</v>
      </c>
      <c r="K171" s="38">
        <f t="shared" si="1"/>
        <v>688528.43438476184</v>
      </c>
      <c r="L171" s="38">
        <f t="shared" si="1"/>
        <v>688868.46206476178</v>
      </c>
      <c r="M171" s="38">
        <f t="shared" si="1"/>
        <v>721374.88974476175</v>
      </c>
      <c r="N171" s="38">
        <f t="shared" si="1"/>
        <v>721714.91742476181</v>
      </c>
    </row>
    <row r="172" spans="3:14" s="34" customFormat="1" ht="15">
      <c r="C172" s="377"/>
      <c r="D172" s="36" t="s">
        <v>190</v>
      </c>
      <c r="E172" s="38">
        <f>'[38]NPV-IRR-PI-DPP (2)'!H11</f>
        <v>-457800.6857142857</v>
      </c>
      <c r="F172" s="38">
        <f>'[38]NPV-IRR-PI-DPP (2)'!H12</f>
        <v>150895.92396190474</v>
      </c>
      <c r="G172" s="38">
        <f>'[38]NPV-IRR-PI-DPP (2)'!H13</f>
        <v>166861.43024761908</v>
      </c>
      <c r="H172" s="38">
        <f>'[38]NPV-IRR-PI-DPP (2)'!H14</f>
        <v>182826.9365333333</v>
      </c>
      <c r="I172" s="38">
        <f>'[38]NPV-IRR-PI-DPP (2)'!H15</f>
        <v>198792.44281904763</v>
      </c>
      <c r="J172" s="38">
        <f>'[38]NPV-IRR-PI-DPP (2)'!H16</f>
        <v>214757.94910476197</v>
      </c>
      <c r="K172" s="38">
        <f>'[38]NPV-IRR-PI-DPP (2)'!H17</f>
        <v>211400.18550095239</v>
      </c>
      <c r="L172" s="38">
        <f>'[38]NPV-IRR-PI-DPP (2)'!H18</f>
        <v>211559.84056380959</v>
      </c>
      <c r="M172" s="38">
        <f>'[38]NPV-IRR-PI-DPP (2)'!H19</f>
        <v>179553.09562666668</v>
      </c>
      <c r="N172" s="38">
        <f>'[38]NPV-IRR-PI-DPP (2)'!H20</f>
        <v>179712.75068952376</v>
      </c>
    </row>
    <row r="173" spans="3:14" ht="18">
      <c r="C173" s="377"/>
      <c r="D173" s="11" t="s">
        <v>191</v>
      </c>
      <c r="E173" s="379">
        <f>'[38]NPV-IRR-PI-DPP (2)'!P11*12</f>
        <v>37.414176522850724</v>
      </c>
      <c r="F173" s="379"/>
      <c r="G173" s="379"/>
      <c r="H173" s="379"/>
      <c r="I173" s="379"/>
      <c r="J173" s="379"/>
      <c r="K173" s="379"/>
      <c r="L173" s="379"/>
      <c r="M173" s="379"/>
      <c r="N173" s="379"/>
    </row>
    <row r="174" spans="3:14" ht="18">
      <c r="C174" s="377"/>
      <c r="D174" s="11" t="s">
        <v>192</v>
      </c>
      <c r="E174" s="380">
        <f>'[38]NPV-IRR-PI-DPP (2)'!N20</f>
        <v>0.36432285730637504</v>
      </c>
      <c r="F174" s="380"/>
      <c r="G174" s="380"/>
      <c r="H174" s="380"/>
      <c r="I174" s="380"/>
      <c r="J174" s="380"/>
      <c r="K174" s="380"/>
      <c r="L174" s="380"/>
      <c r="M174" s="380"/>
      <c r="N174" s="380"/>
    </row>
    <row r="175" spans="3:14" ht="18">
      <c r="C175" s="377"/>
      <c r="D175" s="11" t="s">
        <v>193</v>
      </c>
      <c r="E175" s="375">
        <f>'[38]NPV-IRR-PI-DPP (2)'!M20</f>
        <v>899849.04483956262</v>
      </c>
      <c r="F175" s="375"/>
      <c r="G175" s="375"/>
      <c r="H175" s="375"/>
      <c r="I175" s="375"/>
      <c r="J175" s="375"/>
      <c r="K175" s="375"/>
      <c r="L175" s="375"/>
      <c r="M175" s="375"/>
      <c r="N175" s="375"/>
    </row>
    <row r="176" spans="3:14" ht="18">
      <c r="C176" s="377"/>
      <c r="D176" s="11" t="s">
        <v>194</v>
      </c>
      <c r="E176" s="381">
        <f>'[38]NPV-IRR-PI-DPP (2)'!O20</f>
        <v>2.9271297612447271</v>
      </c>
      <c r="F176" s="381"/>
      <c r="G176" s="382"/>
      <c r="H176" s="382"/>
      <c r="I176" s="382"/>
      <c r="J176" s="382"/>
      <c r="K176" s="382"/>
      <c r="L176" s="382"/>
      <c r="M176" s="382"/>
      <c r="N176" s="382"/>
    </row>
    <row r="177" spans="3:14" ht="18.75" customHeight="1">
      <c r="C177" s="377"/>
      <c r="D177" s="11" t="s">
        <v>195</v>
      </c>
      <c r="E177" s="379">
        <f>'[38]NPV-IRR-PI-DPP (2)'!D96+'[38]NPV-IRR-PI-DPP (2)'!D106</f>
        <v>11.7</v>
      </c>
      <c r="F177" s="379"/>
      <c r="G177" s="382"/>
      <c r="H177" s="382"/>
      <c r="I177" s="382"/>
      <c r="J177" s="382"/>
      <c r="K177" s="382"/>
      <c r="L177" s="382"/>
      <c r="M177" s="382"/>
      <c r="N177" s="382"/>
    </row>
    <row r="178" spans="3:14" ht="18" customHeight="1">
      <c r="C178" s="377"/>
      <c r="D178" s="11" t="s">
        <v>196</v>
      </c>
      <c r="E178" s="375">
        <f>E177/(E150/1000000)</f>
        <v>25.55697351511175</v>
      </c>
      <c r="F178" s="375"/>
      <c r="G178" s="375"/>
      <c r="H178" s="375"/>
      <c r="I178" s="375"/>
      <c r="J178" s="375"/>
      <c r="K178" s="375"/>
      <c r="L178" s="375"/>
      <c r="M178" s="375"/>
      <c r="N178" s="375"/>
    </row>
    <row r="179" spans="3:14" ht="45" customHeight="1">
      <c r="C179" s="377"/>
      <c r="D179" s="11" t="s">
        <v>197</v>
      </c>
      <c r="E179" s="376" t="str">
        <f>E54</f>
        <v>Преференции и льготы для производителей, включая освобождение от налоговых и таможенных платежей на срок до 10 лет, в зависимости от объема инвестиций.</v>
      </c>
      <c r="F179" s="376"/>
      <c r="G179" s="376"/>
      <c r="H179" s="376"/>
      <c r="I179" s="376"/>
      <c r="J179" s="376"/>
      <c r="K179" s="376"/>
      <c r="L179" s="376"/>
      <c r="M179" s="376"/>
      <c r="N179" s="376"/>
    </row>
    <row r="180" spans="3:14" s="34" customFormat="1" ht="35.25" customHeight="1" collapsed="1">
      <c r="C180" s="377">
        <v>8</v>
      </c>
      <c r="D180" s="378" t="s">
        <v>198</v>
      </c>
      <c r="E180" s="378"/>
      <c r="F180" s="378"/>
      <c r="G180" s="378"/>
      <c r="H180" s="378"/>
      <c r="I180" s="378"/>
      <c r="J180" s="378"/>
      <c r="K180" s="378"/>
      <c r="L180" s="378"/>
      <c r="M180" s="378"/>
      <c r="N180" s="378"/>
    </row>
    <row r="181" spans="3:14" s="34" customFormat="1" ht="78.75" customHeight="1">
      <c r="C181" s="377"/>
      <c r="D181" s="9" t="s">
        <v>199</v>
      </c>
      <c r="E181" s="368" t="s">
        <v>200</v>
      </c>
      <c r="F181" s="368"/>
      <c r="G181" s="368"/>
      <c r="H181" s="368"/>
      <c r="I181" s="368"/>
      <c r="J181" s="368"/>
      <c r="K181" s="368"/>
      <c r="L181" s="368"/>
      <c r="M181" s="368"/>
      <c r="N181" s="368"/>
    </row>
    <row r="182" spans="3:14" s="34" customFormat="1" ht="40.5" customHeight="1">
      <c r="C182" s="377"/>
      <c r="D182" s="9" t="s">
        <v>201</v>
      </c>
      <c r="E182" s="368" t="s">
        <v>202</v>
      </c>
      <c r="F182" s="368"/>
      <c r="G182" s="368"/>
      <c r="H182" s="368"/>
      <c r="I182" s="368"/>
      <c r="J182" s="368"/>
      <c r="K182" s="368"/>
      <c r="L182" s="368"/>
      <c r="M182" s="368"/>
      <c r="N182" s="368"/>
    </row>
    <row r="183" spans="3:14" s="34" customFormat="1" ht="36.75" customHeight="1">
      <c r="C183" s="377"/>
      <c r="D183" s="9" t="s">
        <v>203</v>
      </c>
      <c r="E183" s="368" t="s">
        <v>204</v>
      </c>
      <c r="F183" s="368"/>
      <c r="G183" s="368"/>
      <c r="H183" s="368"/>
      <c r="I183" s="368"/>
      <c r="J183" s="368"/>
      <c r="K183" s="368"/>
      <c r="L183" s="368"/>
      <c r="M183" s="368"/>
      <c r="N183" s="368"/>
    </row>
    <row r="184" spans="3:14" s="34" customFormat="1" ht="47.25" customHeight="1">
      <c r="C184" s="377"/>
      <c r="D184" s="9" t="s">
        <v>205</v>
      </c>
      <c r="E184" s="368" t="s">
        <v>206</v>
      </c>
      <c r="F184" s="368"/>
      <c r="G184" s="368"/>
      <c r="H184" s="368"/>
      <c r="I184" s="368"/>
      <c r="J184" s="368"/>
      <c r="K184" s="368"/>
      <c r="L184" s="368"/>
      <c r="M184" s="368"/>
      <c r="N184" s="368"/>
    </row>
    <row r="185" spans="3:14" s="34" customFormat="1" ht="48.75" customHeight="1">
      <c r="C185" s="377"/>
      <c r="D185" s="9" t="s">
        <v>207</v>
      </c>
      <c r="E185" s="368" t="s">
        <v>208</v>
      </c>
      <c r="F185" s="368"/>
      <c r="G185" s="368"/>
      <c r="H185" s="368"/>
      <c r="I185" s="368"/>
      <c r="J185" s="368"/>
      <c r="K185" s="368"/>
      <c r="L185" s="368"/>
      <c r="M185" s="368"/>
      <c r="N185" s="368"/>
    </row>
    <row r="186" spans="3:14" s="34" customFormat="1" ht="39.75" customHeight="1">
      <c r="C186" s="377"/>
      <c r="D186" s="9"/>
      <c r="E186" s="368" t="s">
        <v>209</v>
      </c>
      <c r="F186" s="368"/>
      <c r="G186" s="368"/>
      <c r="H186" s="368"/>
      <c r="I186" s="368"/>
      <c r="J186" s="368"/>
      <c r="K186" s="368"/>
      <c r="L186" s="368"/>
      <c r="M186" s="368"/>
      <c r="N186" s="368"/>
    </row>
    <row r="187" spans="3:14" s="34" customFormat="1" ht="69.75" customHeight="1">
      <c r="C187" s="377"/>
      <c r="D187" s="9"/>
      <c r="E187" s="368" t="s">
        <v>210</v>
      </c>
      <c r="F187" s="368"/>
      <c r="G187" s="368"/>
      <c r="H187" s="368"/>
      <c r="I187" s="368"/>
      <c r="J187" s="368"/>
      <c r="K187" s="368"/>
      <c r="L187" s="368"/>
      <c r="M187" s="368"/>
      <c r="N187" s="368"/>
    </row>
    <row r="188" spans="3:14" ht="43.5" customHeight="1">
      <c r="C188" s="377"/>
      <c r="D188" s="11"/>
      <c r="E188" s="368" t="s">
        <v>211</v>
      </c>
      <c r="F188" s="368"/>
      <c r="G188" s="368"/>
      <c r="H188" s="368"/>
      <c r="I188" s="368"/>
      <c r="J188" s="368"/>
      <c r="K188" s="368"/>
      <c r="L188" s="368"/>
      <c r="M188" s="368"/>
      <c r="N188" s="368"/>
    </row>
    <row r="189" spans="3:14" ht="14.25">
      <c r="C189" s="377"/>
      <c r="D189" s="369"/>
      <c r="E189" s="369"/>
      <c r="F189" s="369"/>
      <c r="G189" s="369"/>
      <c r="H189" s="369"/>
      <c r="I189" s="369"/>
      <c r="J189" s="369"/>
      <c r="K189" s="369"/>
      <c r="L189" s="369"/>
      <c r="M189" s="369"/>
      <c r="N189" s="369"/>
    </row>
    <row r="190" spans="3:14" ht="14.25" outlineLevel="1">
      <c r="C190" s="39"/>
      <c r="D190" s="370"/>
      <c r="E190" s="370"/>
      <c r="F190" s="370"/>
      <c r="G190" s="370"/>
      <c r="H190" s="370"/>
      <c r="I190" s="370"/>
      <c r="J190" s="370"/>
      <c r="K190" s="370"/>
      <c r="L190" s="370"/>
      <c r="M190" s="370"/>
      <c r="N190" s="371"/>
    </row>
    <row r="191" spans="3:14" ht="15" outlineLevel="1" thickBot="1">
      <c r="C191" s="40"/>
      <c r="D191" s="372"/>
      <c r="E191" s="372"/>
      <c r="F191" s="372"/>
      <c r="G191" s="372"/>
      <c r="H191" s="372"/>
      <c r="I191" s="372"/>
      <c r="J191" s="372"/>
      <c r="K191" s="372"/>
      <c r="L191" s="372"/>
      <c r="M191" s="372"/>
      <c r="N191" s="373"/>
    </row>
    <row r="192" spans="3:14" ht="15" thickTop="1">
      <c r="C192" s="41"/>
      <c r="D192" s="374"/>
      <c r="E192" s="374"/>
      <c r="F192" s="374"/>
      <c r="G192" s="374"/>
      <c r="H192" s="374"/>
      <c r="I192" s="374"/>
      <c r="J192" s="374"/>
      <c r="K192" s="374"/>
      <c r="L192" s="374"/>
      <c r="M192" s="374"/>
      <c r="N192" s="374"/>
    </row>
    <row r="204" spans="3:3" customFormat="1">
      <c r="C204" s="42"/>
    </row>
  </sheetData>
  <dataConsolidate link="1"/>
  <mergeCells count="173">
    <mergeCell ref="E11:N11"/>
    <mergeCell ref="E12:N12"/>
    <mergeCell ref="E13:N13"/>
    <mergeCell ref="E14:N14"/>
    <mergeCell ref="E15:N15"/>
    <mergeCell ref="E16:N16"/>
    <mergeCell ref="D2:N2"/>
    <mergeCell ref="D3:N3"/>
    <mergeCell ref="C4:C21"/>
    <mergeCell ref="D4:N4"/>
    <mergeCell ref="E5:N5"/>
    <mergeCell ref="E6:N6"/>
    <mergeCell ref="E7:N7"/>
    <mergeCell ref="E8:N8"/>
    <mergeCell ref="E9:N9"/>
    <mergeCell ref="E10:N10"/>
    <mergeCell ref="E17:N17"/>
    <mergeCell ref="E18:N18"/>
    <mergeCell ref="E19:N19"/>
    <mergeCell ref="E20:N20"/>
    <mergeCell ref="E21:N21"/>
    <mergeCell ref="C22:C39"/>
    <mergeCell ref="D22:N22"/>
    <mergeCell ref="D23:N23"/>
    <mergeCell ref="E24:I24"/>
    <mergeCell ref="J24:N24"/>
    <mergeCell ref="E30:N30"/>
    <mergeCell ref="E31:N31"/>
    <mergeCell ref="E32:N32"/>
    <mergeCell ref="E33:N33"/>
    <mergeCell ref="E34:I34"/>
    <mergeCell ref="J34:N34"/>
    <mergeCell ref="E25:I25"/>
    <mergeCell ref="J25:N25"/>
    <mergeCell ref="D26:D28"/>
    <mergeCell ref="E26:N26"/>
    <mergeCell ref="E27:N28"/>
    <mergeCell ref="E29:N29"/>
    <mergeCell ref="E35:N35"/>
    <mergeCell ref="E36:I36"/>
    <mergeCell ref="J36:N36"/>
    <mergeCell ref="E37:I37"/>
    <mergeCell ref="J37:N37"/>
    <mergeCell ref="D38:D39"/>
    <mergeCell ref="E38:I38"/>
    <mergeCell ref="J38:N38"/>
    <mergeCell ref="E39:N39"/>
    <mergeCell ref="E49:N49"/>
    <mergeCell ref="D50:N50"/>
    <mergeCell ref="E54:N54"/>
    <mergeCell ref="D55:N55"/>
    <mergeCell ref="E56:N56"/>
    <mergeCell ref="E64:J64"/>
    <mergeCell ref="C40:C92"/>
    <mergeCell ref="D40:N40"/>
    <mergeCell ref="D41:N41"/>
    <mergeCell ref="E42:N42"/>
    <mergeCell ref="E43:N43"/>
    <mergeCell ref="E44:N44"/>
    <mergeCell ref="E45:N45"/>
    <mergeCell ref="E46:N46"/>
    <mergeCell ref="E47:N47"/>
    <mergeCell ref="E48:N48"/>
    <mergeCell ref="E88:N88"/>
    <mergeCell ref="E89:N89"/>
    <mergeCell ref="E90:I90"/>
    <mergeCell ref="J90:N90"/>
    <mergeCell ref="E91:I91"/>
    <mergeCell ref="J91:N91"/>
    <mergeCell ref="D65:N65"/>
    <mergeCell ref="E77:N77"/>
    <mergeCell ref="E78:N78"/>
    <mergeCell ref="D79:N79"/>
    <mergeCell ref="E86:N86"/>
    <mergeCell ref="D87:N87"/>
    <mergeCell ref="I97:N97"/>
    <mergeCell ref="E98:H98"/>
    <mergeCell ref="I98:N98"/>
    <mergeCell ref="E99:H99"/>
    <mergeCell ref="I99:N99"/>
    <mergeCell ref="E100:H100"/>
    <mergeCell ref="I100:N100"/>
    <mergeCell ref="E92:I92"/>
    <mergeCell ref="J92:N92"/>
    <mergeCell ref="D93:N93"/>
    <mergeCell ref="E94:N94"/>
    <mergeCell ref="E95:H95"/>
    <mergeCell ref="I95:N95"/>
    <mergeCell ref="E96:H96"/>
    <mergeCell ref="I96:N96"/>
    <mergeCell ref="E97:H97"/>
    <mergeCell ref="E105:H105"/>
    <mergeCell ref="I105:N105"/>
    <mergeCell ref="E106:H106"/>
    <mergeCell ref="I106:N106"/>
    <mergeCell ref="D107:N107"/>
    <mergeCell ref="E108:H108"/>
    <mergeCell ref="I108:N108"/>
    <mergeCell ref="E101:H101"/>
    <mergeCell ref="I101:N101"/>
    <mergeCell ref="D102:D104"/>
    <mergeCell ref="E102:N102"/>
    <mergeCell ref="E103:H103"/>
    <mergeCell ref="J103:N103"/>
    <mergeCell ref="E104:H104"/>
    <mergeCell ref="J104:N104"/>
    <mergeCell ref="E134:N134"/>
    <mergeCell ref="E135:N135"/>
    <mergeCell ref="E114:N114"/>
    <mergeCell ref="C115:C126"/>
    <mergeCell ref="D115:N115"/>
    <mergeCell ref="E124:N124"/>
    <mergeCell ref="E125:N125"/>
    <mergeCell ref="E126:N126"/>
    <mergeCell ref="E109:H109"/>
    <mergeCell ref="I109:N109"/>
    <mergeCell ref="E110:N110"/>
    <mergeCell ref="E111:N111"/>
    <mergeCell ref="E112:N112"/>
    <mergeCell ref="E113:N113"/>
    <mergeCell ref="C93:C114"/>
    <mergeCell ref="E142:N142"/>
    <mergeCell ref="E143:N143"/>
    <mergeCell ref="E144:N144"/>
    <mergeCell ref="E145:N145"/>
    <mergeCell ref="E146:N146"/>
    <mergeCell ref="E147:N147"/>
    <mergeCell ref="E136:N136"/>
    <mergeCell ref="E137:N137"/>
    <mergeCell ref="E138:N138"/>
    <mergeCell ref="E139:N139"/>
    <mergeCell ref="E140:N140"/>
    <mergeCell ref="E141:N141"/>
    <mergeCell ref="E168:N168"/>
    <mergeCell ref="E173:N173"/>
    <mergeCell ref="E174:N174"/>
    <mergeCell ref="E175:N175"/>
    <mergeCell ref="E176:N176"/>
    <mergeCell ref="E177:N177"/>
    <mergeCell ref="E148:N148"/>
    <mergeCell ref="C149:C179"/>
    <mergeCell ref="D149:N149"/>
    <mergeCell ref="E150:N150"/>
    <mergeCell ref="I151:J163"/>
    <mergeCell ref="N151:N163"/>
    <mergeCell ref="E164:N164"/>
    <mergeCell ref="E165:N165"/>
    <mergeCell ref="E166:N166"/>
    <mergeCell ref="E167:N167"/>
    <mergeCell ref="C127:C148"/>
    <mergeCell ref="D127:N127"/>
    <mergeCell ref="E128:N128"/>
    <mergeCell ref="E129:N129"/>
    <mergeCell ref="D130:N130"/>
    <mergeCell ref="E131:N131"/>
    <mergeCell ref="E132:N132"/>
    <mergeCell ref="E133:N133"/>
    <mergeCell ref="E187:N187"/>
    <mergeCell ref="E188:N188"/>
    <mergeCell ref="D189:N189"/>
    <mergeCell ref="D190:N190"/>
    <mergeCell ref="D191:N191"/>
    <mergeCell ref="D192:N192"/>
    <mergeCell ref="E178:N178"/>
    <mergeCell ref="E179:N179"/>
    <mergeCell ref="C180:C189"/>
    <mergeCell ref="D180:N180"/>
    <mergeCell ref="E181:N181"/>
    <mergeCell ref="E182:N182"/>
    <mergeCell ref="E183:N183"/>
    <mergeCell ref="E184:N184"/>
    <mergeCell ref="E185:N185"/>
    <mergeCell ref="E186:N186"/>
  </mergeCells>
  <hyperlinks>
    <hyperlink ref="E99" r:id="rId1" display="https://alfaspk.ru" xr:uid="{8245FD0F-1E13-4C70-926E-1759AC96CFC6}"/>
    <hyperlink ref="I99" r:id="rId2" display="https://alfaspk.ru" xr:uid="{0CA80C1F-158E-443E-91DC-955D89BC5F34}"/>
  </hyperlinks>
  <printOptions horizontalCentered="1"/>
  <pageMargins left="0.15748031496062992" right="0" top="0.19685039370078741" bottom="0" header="0" footer="3.937007874015748E-2"/>
  <pageSetup paperSize="9" scale="42" fitToHeight="3"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28F2-2034-448F-A8AD-DE8617B07984}">
  <sheetPr>
    <pageSetUpPr fitToPage="1"/>
  </sheetPr>
  <dimension ref="C1:Y221"/>
  <sheetViews>
    <sheetView showGridLines="0" tabSelected="1" zoomScale="70" zoomScaleNormal="70" workbookViewId="0">
      <selection activeCell="E181" sqref="E181:N181"/>
    </sheetView>
  </sheetViews>
  <sheetFormatPr defaultRowHeight="12.75" outlineLevelRow="1"/>
  <cols>
    <col min="1" max="2" width="9.140625" style="3"/>
    <col min="3" max="3" width="9.42578125" style="1" customWidth="1"/>
    <col min="4" max="4" width="71" style="3" customWidth="1"/>
    <col min="5" max="5" width="18.140625" style="3" customWidth="1"/>
    <col min="6" max="6" width="16.42578125" style="3" customWidth="1"/>
    <col min="7" max="7" width="16.28515625" style="3" customWidth="1"/>
    <col min="8" max="8" width="18.85546875" style="3" customWidth="1"/>
    <col min="9" max="9" width="15.85546875" style="3" customWidth="1"/>
    <col min="10" max="10" width="18.140625" style="3" customWidth="1"/>
    <col min="11" max="11" width="13.42578125" style="3" customWidth="1"/>
    <col min="12" max="12" width="14.42578125" style="3" customWidth="1"/>
    <col min="13" max="13" width="13.85546875" style="3" customWidth="1"/>
    <col min="14" max="14" width="15" style="3" customWidth="1"/>
    <col min="15" max="18" width="9.140625" style="3"/>
    <col min="19" max="19" width="13.140625" style="3" bestFit="1" customWidth="1"/>
    <col min="20" max="16384" width="9.140625" style="3"/>
  </cols>
  <sheetData>
    <row r="1" spans="3:25" ht="32.25" customHeight="1">
      <c r="D1" s="2"/>
      <c r="E1" s="2"/>
      <c r="F1" s="2"/>
      <c r="G1" s="2"/>
      <c r="H1" s="2"/>
      <c r="I1" s="2"/>
      <c r="J1" s="2"/>
      <c r="K1" s="2"/>
      <c r="L1" s="2"/>
      <c r="M1" s="2"/>
      <c r="N1" s="2"/>
      <c r="P1" s="3" t="s">
        <v>0</v>
      </c>
      <c r="Q1" s="4">
        <f>[38]Input1!I2</f>
        <v>10500</v>
      </c>
    </row>
    <row r="2" spans="3:25" ht="30.75">
      <c r="D2" s="452" t="s">
        <v>212</v>
      </c>
      <c r="E2" s="452"/>
      <c r="F2" s="452"/>
      <c r="G2" s="452"/>
      <c r="H2" s="452"/>
      <c r="I2" s="452"/>
      <c r="J2" s="452"/>
      <c r="K2" s="452"/>
      <c r="L2" s="452"/>
      <c r="M2" s="452"/>
      <c r="N2" s="452"/>
    </row>
    <row r="3" spans="3:25" ht="33" customHeight="1">
      <c r="C3" s="5"/>
      <c r="D3" s="453" t="s">
        <v>213</v>
      </c>
      <c r="E3" s="453"/>
      <c r="F3" s="453"/>
      <c r="G3" s="453"/>
      <c r="H3" s="453"/>
      <c r="I3" s="453"/>
      <c r="J3" s="453"/>
      <c r="K3" s="453"/>
      <c r="L3" s="453"/>
      <c r="M3" s="453"/>
      <c r="N3" s="453"/>
    </row>
    <row r="4" spans="3:25" ht="34.5" customHeight="1">
      <c r="C4" s="377">
        <v>1</v>
      </c>
      <c r="D4" s="378" t="s">
        <v>214</v>
      </c>
      <c r="E4" s="378"/>
      <c r="F4" s="378"/>
      <c r="G4" s="378"/>
      <c r="H4" s="378"/>
      <c r="I4" s="378"/>
      <c r="J4" s="378"/>
      <c r="K4" s="378"/>
      <c r="L4" s="378"/>
      <c r="M4" s="378"/>
      <c r="N4" s="378"/>
    </row>
    <row r="5" spans="3:25" ht="57.75" customHeight="1">
      <c r="C5" s="377"/>
      <c r="D5" s="6" t="s">
        <v>215</v>
      </c>
      <c r="E5" s="454" t="s">
        <v>216</v>
      </c>
      <c r="F5" s="454"/>
      <c r="G5" s="454"/>
      <c r="H5" s="454"/>
      <c r="I5" s="454"/>
      <c r="J5" s="454"/>
      <c r="K5" s="454"/>
      <c r="L5" s="454"/>
      <c r="M5" s="454"/>
      <c r="N5" s="454"/>
    </row>
    <row r="6" spans="3:25" ht="21.75" customHeight="1">
      <c r="C6" s="377"/>
      <c r="D6" s="6" t="s">
        <v>217</v>
      </c>
      <c r="E6" s="455">
        <f>E150</f>
        <v>457800.68571428576</v>
      </c>
      <c r="F6" s="455"/>
      <c r="G6" s="455"/>
      <c r="H6" s="455"/>
      <c r="I6" s="455"/>
      <c r="J6" s="455"/>
      <c r="K6" s="455"/>
      <c r="L6" s="455"/>
      <c r="M6" s="455"/>
      <c r="N6" s="455"/>
    </row>
    <row r="7" spans="3:25" ht="21.75" customHeight="1">
      <c r="C7" s="377"/>
      <c r="D7" s="6" t="s">
        <v>218</v>
      </c>
      <c r="E7" s="455">
        <f>E39</f>
        <v>2286994.2857142859</v>
      </c>
      <c r="F7" s="455"/>
      <c r="G7" s="455"/>
      <c r="H7" s="455"/>
      <c r="I7" s="455"/>
      <c r="J7" s="455"/>
      <c r="K7" s="455"/>
      <c r="L7" s="455"/>
      <c r="M7" s="455"/>
      <c r="N7" s="455"/>
    </row>
    <row r="8" spans="3:25" ht="16.5" customHeight="1">
      <c r="C8" s="377"/>
      <c r="D8" s="6" t="s">
        <v>219</v>
      </c>
      <c r="E8" s="455">
        <f>E90+J90</f>
        <v>47914705.542857155</v>
      </c>
      <c r="F8" s="455"/>
      <c r="G8" s="455"/>
      <c r="H8" s="455"/>
      <c r="I8" s="455"/>
      <c r="J8" s="455"/>
      <c r="K8" s="455"/>
      <c r="L8" s="455"/>
      <c r="M8" s="455"/>
      <c r="N8" s="455"/>
    </row>
    <row r="9" spans="3:25" ht="16.5" customHeight="1">
      <c r="C9" s="377"/>
      <c r="D9" s="6" t="s">
        <v>220</v>
      </c>
      <c r="E9" s="375">
        <f>E173</f>
        <v>37.414176522850724</v>
      </c>
      <c r="F9" s="375"/>
      <c r="G9" s="375"/>
      <c r="H9" s="375"/>
      <c r="I9" s="375"/>
      <c r="J9" s="375"/>
      <c r="K9" s="375"/>
      <c r="L9" s="375"/>
      <c r="M9" s="375"/>
      <c r="N9" s="375"/>
    </row>
    <row r="10" spans="3:25" ht="29.25" customHeight="1">
      <c r="C10" s="377"/>
      <c r="D10" s="6" t="s">
        <v>221</v>
      </c>
      <c r="E10" s="382"/>
      <c r="F10" s="382"/>
      <c r="G10" s="382"/>
      <c r="H10" s="382"/>
      <c r="I10" s="382"/>
      <c r="J10" s="382"/>
      <c r="K10" s="382"/>
      <c r="L10" s="382"/>
      <c r="M10" s="382"/>
      <c r="N10" s="382"/>
      <c r="U10" s="43"/>
    </row>
    <row r="11" spans="3:25" ht="29.25" customHeight="1">
      <c r="C11" s="377"/>
      <c r="D11" s="6" t="s">
        <v>222</v>
      </c>
      <c r="E11" s="382"/>
      <c r="F11" s="382"/>
      <c r="G11" s="382"/>
      <c r="H11" s="382"/>
      <c r="I11" s="382"/>
      <c r="J11" s="382"/>
      <c r="K11" s="382"/>
      <c r="L11" s="382"/>
      <c r="M11" s="382"/>
      <c r="N11" s="382"/>
    </row>
    <row r="12" spans="3:25" ht="42" customHeight="1">
      <c r="C12" s="377"/>
      <c r="D12" s="7" t="s">
        <v>223</v>
      </c>
      <c r="E12" s="382" t="s">
        <v>224</v>
      </c>
      <c r="F12" s="382"/>
      <c r="G12" s="382"/>
      <c r="H12" s="382"/>
      <c r="I12" s="382"/>
      <c r="J12" s="382"/>
      <c r="K12" s="382"/>
      <c r="L12" s="382"/>
      <c r="M12" s="382"/>
      <c r="N12" s="382"/>
      <c r="X12"/>
      <c r="Y12"/>
    </row>
    <row r="13" spans="3:25" ht="33.75" customHeight="1">
      <c r="C13" s="377"/>
      <c r="D13" s="7" t="s">
        <v>225</v>
      </c>
      <c r="E13" s="382"/>
      <c r="F13" s="382"/>
      <c r="G13" s="382"/>
      <c r="H13" s="382"/>
      <c r="I13" s="382"/>
      <c r="J13" s="382"/>
      <c r="K13" s="382"/>
      <c r="L13" s="382"/>
      <c r="M13" s="382"/>
      <c r="N13" s="382"/>
    </row>
    <row r="14" spans="3:25" ht="54" customHeight="1">
      <c r="C14" s="377"/>
      <c r="D14" s="7" t="s">
        <v>226</v>
      </c>
      <c r="E14" s="382"/>
      <c r="F14" s="382"/>
      <c r="G14" s="382"/>
      <c r="H14" s="382"/>
      <c r="I14" s="382"/>
      <c r="J14" s="382"/>
      <c r="K14" s="382"/>
      <c r="L14" s="382"/>
      <c r="M14" s="382"/>
      <c r="N14" s="382"/>
    </row>
    <row r="15" spans="3:25" ht="39" hidden="1" customHeight="1" outlineLevel="1">
      <c r="C15" s="377"/>
      <c r="D15" s="7" t="s">
        <v>15</v>
      </c>
      <c r="E15" s="382" t="s">
        <v>16</v>
      </c>
      <c r="F15" s="382"/>
      <c r="G15" s="382"/>
      <c r="H15" s="382"/>
      <c r="I15" s="382"/>
      <c r="J15" s="382"/>
      <c r="K15" s="382"/>
      <c r="L15" s="382"/>
      <c r="M15" s="382"/>
      <c r="N15" s="382"/>
    </row>
    <row r="16" spans="3:25" ht="39" hidden="1" customHeight="1" outlineLevel="1">
      <c r="C16" s="377"/>
      <c r="D16" s="8" t="s">
        <v>17</v>
      </c>
      <c r="E16" s="382" t="s">
        <v>16</v>
      </c>
      <c r="F16" s="382"/>
      <c r="G16" s="382"/>
      <c r="H16" s="382"/>
      <c r="I16" s="382"/>
      <c r="J16" s="382"/>
      <c r="K16" s="382"/>
      <c r="L16" s="382"/>
      <c r="M16" s="382"/>
      <c r="N16" s="382"/>
    </row>
    <row r="17" spans="3:25" ht="37.5" hidden="1" customHeight="1" outlineLevel="1">
      <c r="C17" s="377"/>
      <c r="D17" s="8" t="s">
        <v>18</v>
      </c>
      <c r="E17" s="382" t="s">
        <v>16</v>
      </c>
      <c r="F17" s="382"/>
      <c r="G17" s="382"/>
      <c r="H17" s="382"/>
      <c r="I17" s="382"/>
      <c r="J17" s="382"/>
      <c r="K17" s="382"/>
      <c r="L17" s="382"/>
      <c r="M17" s="382"/>
      <c r="N17" s="382"/>
    </row>
    <row r="18" spans="3:25" ht="34.5" hidden="1" customHeight="1" outlineLevel="1">
      <c r="C18" s="377"/>
      <c r="D18" s="8" t="s">
        <v>19</v>
      </c>
      <c r="E18" s="382" t="s">
        <v>16</v>
      </c>
      <c r="F18" s="382"/>
      <c r="G18" s="382"/>
      <c r="H18" s="382"/>
      <c r="I18" s="382"/>
      <c r="J18" s="382"/>
      <c r="K18" s="382"/>
      <c r="L18" s="382"/>
      <c r="M18" s="382"/>
      <c r="N18" s="382"/>
    </row>
    <row r="19" spans="3:25" ht="36" hidden="1" customHeight="1" outlineLevel="1">
      <c r="C19" s="377"/>
      <c r="D19" s="8" t="s">
        <v>20</v>
      </c>
      <c r="E19" s="382" t="s">
        <v>16</v>
      </c>
      <c r="F19" s="382"/>
      <c r="G19" s="382"/>
      <c r="H19" s="382"/>
      <c r="I19" s="382"/>
      <c r="J19" s="382"/>
      <c r="K19" s="382"/>
      <c r="L19" s="382"/>
      <c r="M19" s="382"/>
      <c r="N19" s="382"/>
    </row>
    <row r="20" spans="3:25" ht="28.5" hidden="1" customHeight="1" outlineLevel="1">
      <c r="C20" s="377"/>
      <c r="D20" s="8" t="s">
        <v>21</v>
      </c>
      <c r="E20" s="382" t="s">
        <v>16</v>
      </c>
      <c r="F20" s="382"/>
      <c r="G20" s="382"/>
      <c r="H20" s="382"/>
      <c r="I20" s="382"/>
      <c r="J20" s="382"/>
      <c r="K20" s="382"/>
      <c r="L20" s="382"/>
      <c r="M20" s="382"/>
      <c r="N20" s="382"/>
    </row>
    <row r="21" spans="3:25" ht="46.5" hidden="1" customHeight="1" outlineLevel="1">
      <c r="C21" s="377"/>
      <c r="D21" s="6"/>
      <c r="E21" s="382"/>
      <c r="F21" s="382"/>
      <c r="G21" s="382"/>
      <c r="H21" s="382"/>
      <c r="I21" s="382"/>
      <c r="J21" s="382"/>
      <c r="K21" s="382"/>
      <c r="L21" s="382"/>
      <c r="M21" s="382"/>
      <c r="N21" s="382"/>
    </row>
    <row r="22" spans="3:25" ht="35.25" customHeight="1" collapsed="1">
      <c r="C22" s="377">
        <v>2</v>
      </c>
      <c r="D22" s="378" t="s">
        <v>227</v>
      </c>
      <c r="E22" s="378"/>
      <c r="F22" s="378"/>
      <c r="G22" s="378"/>
      <c r="H22" s="378"/>
      <c r="I22" s="378"/>
      <c r="J22" s="378"/>
      <c r="K22" s="378"/>
      <c r="L22" s="378"/>
      <c r="M22" s="378"/>
      <c r="N22" s="378"/>
      <c r="P22"/>
      <c r="X22"/>
      <c r="Y22"/>
    </row>
    <row r="23" spans="3:25" ht="21" customHeight="1">
      <c r="C23" s="377"/>
      <c r="D23" s="386" t="s">
        <v>228</v>
      </c>
      <c r="E23" s="386"/>
      <c r="F23" s="386"/>
      <c r="G23" s="386"/>
      <c r="H23" s="386"/>
      <c r="I23" s="386"/>
      <c r="J23" s="386"/>
      <c r="K23" s="386"/>
      <c r="L23" s="386"/>
      <c r="M23" s="386"/>
      <c r="N23" s="386"/>
    </row>
    <row r="24" spans="3:25" ht="69.75" customHeight="1">
      <c r="C24" s="377"/>
      <c r="D24" s="9" t="s">
        <v>229</v>
      </c>
      <c r="E24" s="449" t="s">
        <v>230</v>
      </c>
      <c r="F24" s="450"/>
      <c r="G24" s="450"/>
      <c r="H24" s="450"/>
      <c r="I24" s="451"/>
      <c r="J24" s="449" t="s">
        <v>231</v>
      </c>
      <c r="K24" s="450"/>
      <c r="L24" s="450"/>
      <c r="M24" s="450"/>
      <c r="N24" s="451"/>
    </row>
    <row r="25" spans="3:25" ht="235.5" customHeight="1">
      <c r="C25" s="377"/>
      <c r="D25" s="6" t="s">
        <v>232</v>
      </c>
      <c r="E25" s="439"/>
      <c r="F25" s="440"/>
      <c r="G25" s="440"/>
      <c r="H25" s="440"/>
      <c r="I25" s="441"/>
      <c r="J25" s="439"/>
      <c r="K25" s="440"/>
      <c r="L25" s="440"/>
      <c r="M25" s="440"/>
      <c r="N25" s="441"/>
      <c r="S25"/>
    </row>
    <row r="26" spans="3:25" ht="116.25" customHeight="1">
      <c r="C26" s="377"/>
      <c r="D26" s="386" t="s">
        <v>233</v>
      </c>
      <c r="E26" s="429" t="s">
        <v>234</v>
      </c>
      <c r="F26" s="429"/>
      <c r="G26" s="429"/>
      <c r="H26" s="429"/>
      <c r="I26" s="429"/>
      <c r="J26" s="429"/>
      <c r="K26" s="429"/>
      <c r="L26" s="429"/>
      <c r="M26" s="429"/>
      <c r="N26" s="429"/>
    </row>
    <row r="27" spans="3:25" ht="84" customHeight="1">
      <c r="C27" s="377"/>
      <c r="D27" s="386"/>
      <c r="E27" s="442" t="s">
        <v>235</v>
      </c>
      <c r="F27" s="443"/>
      <c r="G27" s="443"/>
      <c r="H27" s="443"/>
      <c r="I27" s="443"/>
      <c r="J27" s="443"/>
      <c r="K27" s="443"/>
      <c r="L27" s="443"/>
      <c r="M27" s="443"/>
      <c r="N27" s="444"/>
    </row>
    <row r="28" spans="3:25" ht="66.75" customHeight="1">
      <c r="C28" s="377"/>
      <c r="D28" s="386"/>
      <c r="E28" s="445"/>
      <c r="F28" s="446"/>
      <c r="G28" s="446"/>
      <c r="H28" s="446"/>
      <c r="I28" s="446"/>
      <c r="J28" s="446"/>
      <c r="K28" s="446"/>
      <c r="L28" s="446"/>
      <c r="M28" s="446"/>
      <c r="N28" s="447"/>
    </row>
    <row r="29" spans="3:25" ht="127.5" customHeight="1">
      <c r="C29" s="377"/>
      <c r="D29" s="8" t="s">
        <v>236</v>
      </c>
      <c r="E29" s="448" t="s">
        <v>237</v>
      </c>
      <c r="F29" s="382"/>
      <c r="G29" s="382"/>
      <c r="H29" s="382"/>
      <c r="I29" s="382"/>
      <c r="J29" s="382"/>
      <c r="K29" s="382"/>
      <c r="L29" s="382"/>
      <c r="M29" s="382"/>
      <c r="N29" s="382"/>
    </row>
    <row r="30" spans="3:25" ht="46.5" customHeight="1">
      <c r="C30" s="377"/>
      <c r="D30" s="8" t="s">
        <v>238</v>
      </c>
      <c r="E30" s="382" t="s">
        <v>239</v>
      </c>
      <c r="F30" s="382"/>
      <c r="G30" s="382"/>
      <c r="H30" s="382"/>
      <c r="I30" s="382"/>
      <c r="J30" s="382"/>
      <c r="K30" s="382"/>
      <c r="L30" s="382"/>
      <c r="M30" s="382"/>
      <c r="N30" s="382"/>
    </row>
    <row r="31" spans="3:25" ht="60.75" customHeight="1">
      <c r="C31" s="377"/>
      <c r="D31" s="8" t="s">
        <v>240</v>
      </c>
      <c r="E31" s="434" t="s">
        <v>241</v>
      </c>
      <c r="F31" s="435"/>
      <c r="G31" s="435"/>
      <c r="H31" s="435"/>
      <c r="I31" s="435"/>
      <c r="J31" s="435"/>
      <c r="K31" s="435"/>
      <c r="L31" s="435"/>
      <c r="M31" s="435"/>
      <c r="N31" s="435"/>
    </row>
    <row r="32" spans="3:25" ht="24" hidden="1" customHeight="1" outlineLevel="1">
      <c r="C32" s="377"/>
      <c r="D32" s="8" t="s">
        <v>37</v>
      </c>
      <c r="E32" s="460"/>
      <c r="F32" s="460"/>
      <c r="G32" s="460"/>
      <c r="H32" s="460"/>
      <c r="I32" s="44"/>
      <c r="J32" s="460"/>
      <c r="K32" s="460"/>
      <c r="L32" s="460"/>
      <c r="M32" s="460"/>
      <c r="N32" s="460"/>
    </row>
    <row r="33" spans="3:14" ht="44.25" customHeight="1" collapsed="1">
      <c r="C33" s="377"/>
      <c r="D33" s="6" t="s">
        <v>242</v>
      </c>
      <c r="E33" s="386" t="s">
        <v>243</v>
      </c>
      <c r="F33" s="386"/>
      <c r="G33" s="386"/>
      <c r="H33" s="386"/>
      <c r="I33" s="386"/>
      <c r="J33" s="386"/>
      <c r="K33" s="386"/>
      <c r="L33" s="386"/>
      <c r="M33" s="386"/>
      <c r="N33" s="386"/>
    </row>
    <row r="34" spans="3:14" ht="29.25" customHeight="1">
      <c r="C34" s="377"/>
      <c r="D34" s="6" t="s">
        <v>244</v>
      </c>
      <c r="E34" s="436">
        <f>[38]Лист1!P61/10500</f>
        <v>0.54761904761904767</v>
      </c>
      <c r="F34" s="437"/>
      <c r="G34" s="437"/>
      <c r="H34" s="437"/>
      <c r="I34" s="438"/>
      <c r="J34" s="436">
        <f>[38]Лист1!M11/10500</f>
        <v>13.419047619047619</v>
      </c>
      <c r="K34" s="437"/>
      <c r="L34" s="437"/>
      <c r="M34" s="437"/>
      <c r="N34" s="438"/>
    </row>
    <row r="35" spans="3:14" ht="17.25" hidden="1" customHeight="1" outlineLevel="1">
      <c r="C35" s="377"/>
      <c r="D35" s="6"/>
      <c r="E35" s="45"/>
      <c r="F35" s="45"/>
      <c r="G35" s="45"/>
      <c r="H35" s="45"/>
      <c r="I35" s="45"/>
      <c r="J35" s="45"/>
      <c r="K35" s="45"/>
      <c r="L35" s="45"/>
      <c r="M35" s="45"/>
      <c r="N35" s="45"/>
    </row>
    <row r="36" spans="3:14" ht="35.25" customHeight="1" collapsed="1">
      <c r="C36" s="377"/>
      <c r="D36" s="6" t="s">
        <v>245</v>
      </c>
      <c r="E36" s="407">
        <v>1382.4</v>
      </c>
      <c r="F36" s="408"/>
      <c r="G36" s="408"/>
      <c r="H36" s="408"/>
      <c r="I36" s="409"/>
      <c r="J36" s="407">
        <v>28800</v>
      </c>
      <c r="K36" s="408"/>
      <c r="L36" s="408"/>
      <c r="M36" s="408"/>
      <c r="N36" s="409"/>
    </row>
    <row r="37" spans="3:14" ht="22.5" customHeight="1">
      <c r="C37" s="377"/>
      <c r="D37" s="6" t="s">
        <v>245</v>
      </c>
      <c r="E37" s="423">
        <f>E34*1000*E36</f>
        <v>757028.57142857159</v>
      </c>
      <c r="F37" s="424"/>
      <c r="G37" s="424"/>
      <c r="H37" s="424"/>
      <c r="I37" s="425"/>
      <c r="J37" s="426">
        <f>J34*J36</f>
        <v>386468.57142857142</v>
      </c>
      <c r="K37" s="427"/>
      <c r="L37" s="427"/>
      <c r="M37" s="427"/>
      <c r="N37" s="428"/>
    </row>
    <row r="38" spans="3:14" ht="24.75" customHeight="1">
      <c r="C38" s="377"/>
      <c r="D38" s="429" t="s">
        <v>218</v>
      </c>
      <c r="E38" s="436">
        <f>E34*1000*E36*2</f>
        <v>1514057.1428571432</v>
      </c>
      <c r="F38" s="437"/>
      <c r="G38" s="437"/>
      <c r="H38" s="437"/>
      <c r="I38" s="438"/>
      <c r="J38" s="436">
        <f>J34*J36*2</f>
        <v>772937.14285714284</v>
      </c>
      <c r="K38" s="437"/>
      <c r="L38" s="437"/>
      <c r="M38" s="437"/>
      <c r="N38" s="438"/>
    </row>
    <row r="39" spans="3:14" ht="23.25" customHeight="1">
      <c r="C39" s="377"/>
      <c r="D39" s="429"/>
      <c r="E39" s="433">
        <f>E38+H38+J38</f>
        <v>2286994.2857142859</v>
      </c>
      <c r="F39" s="433"/>
      <c r="G39" s="433"/>
      <c r="H39" s="433"/>
      <c r="I39" s="433"/>
      <c r="J39" s="433"/>
      <c r="K39" s="433"/>
      <c r="L39" s="433"/>
      <c r="M39" s="433"/>
      <c r="N39" s="433"/>
    </row>
    <row r="40" spans="3:14" ht="34.5" customHeight="1">
      <c r="C40" s="377">
        <v>3</v>
      </c>
      <c r="D40" s="378" t="s">
        <v>246</v>
      </c>
      <c r="E40" s="378"/>
      <c r="F40" s="378"/>
      <c r="G40" s="378"/>
      <c r="H40" s="378"/>
      <c r="I40" s="378"/>
      <c r="J40" s="378"/>
      <c r="K40" s="378"/>
      <c r="L40" s="378"/>
      <c r="M40" s="378"/>
      <c r="N40" s="378"/>
    </row>
    <row r="41" spans="3:14" ht="24.75" customHeight="1">
      <c r="C41" s="377"/>
      <c r="D41" s="419" t="s">
        <v>247</v>
      </c>
      <c r="E41" s="419"/>
      <c r="F41" s="419"/>
      <c r="G41" s="419"/>
      <c r="H41" s="419"/>
      <c r="I41" s="419"/>
      <c r="J41" s="419"/>
      <c r="K41" s="419"/>
      <c r="L41" s="419"/>
      <c r="M41" s="419"/>
      <c r="N41" s="419"/>
    </row>
    <row r="42" spans="3:14" ht="32.25" customHeight="1">
      <c r="C42" s="377"/>
      <c r="D42" s="9" t="s">
        <v>248</v>
      </c>
      <c r="E42" s="386" t="s">
        <v>249</v>
      </c>
      <c r="F42" s="386"/>
      <c r="G42" s="386"/>
      <c r="H42" s="386"/>
      <c r="I42" s="386"/>
      <c r="J42" s="386"/>
      <c r="K42" s="386"/>
      <c r="L42" s="386"/>
      <c r="M42" s="386"/>
      <c r="N42" s="386"/>
    </row>
    <row r="43" spans="3:14" ht="88.5" customHeight="1">
      <c r="C43" s="377"/>
      <c r="D43" s="9" t="s">
        <v>250</v>
      </c>
      <c r="E43" s="386" t="s">
        <v>251</v>
      </c>
      <c r="F43" s="386"/>
      <c r="G43" s="386"/>
      <c r="H43" s="386"/>
      <c r="I43" s="386"/>
      <c r="J43" s="386"/>
      <c r="K43" s="386"/>
      <c r="L43" s="386"/>
      <c r="M43" s="386"/>
      <c r="N43" s="386"/>
    </row>
    <row r="44" spans="3:14" ht="24.75" customHeight="1">
      <c r="C44" s="377"/>
      <c r="D44" s="7" t="s">
        <v>252</v>
      </c>
      <c r="E44" s="386">
        <f>[38]Лист1!P129</f>
        <v>220</v>
      </c>
      <c r="F44" s="386"/>
      <c r="G44" s="386"/>
      <c r="H44" s="386"/>
      <c r="I44" s="386"/>
      <c r="J44" s="386"/>
      <c r="K44" s="386"/>
      <c r="L44" s="386"/>
      <c r="M44" s="386"/>
      <c r="N44" s="386"/>
    </row>
    <row r="45" spans="3:14" ht="24.75" customHeight="1">
      <c r="C45" s="377"/>
      <c r="D45" s="7" t="s">
        <v>253</v>
      </c>
      <c r="E45" s="421">
        <f>[38]Лист1!Q145</f>
        <v>425</v>
      </c>
      <c r="F45" s="421"/>
      <c r="G45" s="386"/>
      <c r="H45" s="386"/>
      <c r="I45" s="386"/>
      <c r="J45" s="386"/>
      <c r="K45" s="386"/>
      <c r="L45" s="386"/>
      <c r="M45" s="386"/>
      <c r="N45" s="386"/>
    </row>
    <row r="46" spans="3:14" ht="24.75" customHeight="1">
      <c r="C46" s="377"/>
      <c r="D46" s="7" t="s">
        <v>254</v>
      </c>
      <c r="E46" s="421">
        <f>[38]Лист1!S153</f>
        <v>93500</v>
      </c>
      <c r="F46" s="421"/>
      <c r="G46" s="421"/>
      <c r="H46" s="421"/>
      <c r="I46" s="421"/>
      <c r="J46" s="421"/>
      <c r="K46" s="421"/>
      <c r="L46" s="421"/>
      <c r="M46" s="421"/>
      <c r="N46" s="421"/>
    </row>
    <row r="47" spans="3:14" ht="21" customHeight="1">
      <c r="C47" s="377"/>
      <c r="D47" s="9" t="s">
        <v>255</v>
      </c>
      <c r="E47" s="422">
        <v>0.1</v>
      </c>
      <c r="F47" s="422"/>
      <c r="G47" s="422"/>
      <c r="H47" s="422"/>
      <c r="I47" s="422"/>
      <c r="J47" s="422"/>
      <c r="K47" s="422"/>
      <c r="L47" s="422"/>
      <c r="M47" s="422"/>
      <c r="N47" s="422"/>
    </row>
    <row r="48" spans="3:14" ht="24.75" customHeight="1">
      <c r="C48" s="377"/>
      <c r="D48" s="9" t="s">
        <v>256</v>
      </c>
      <c r="E48" s="384">
        <f>J34*E46</f>
        <v>1254680.9523809524</v>
      </c>
      <c r="F48" s="384"/>
      <c r="G48" s="384"/>
      <c r="H48" s="384"/>
      <c r="I48" s="384"/>
      <c r="J48" s="384"/>
      <c r="K48" s="384"/>
      <c r="L48" s="384"/>
      <c r="M48" s="384"/>
      <c r="N48" s="384"/>
    </row>
    <row r="49" spans="3:19" ht="24.75" hidden="1" customHeight="1" outlineLevel="1">
      <c r="C49" s="377"/>
      <c r="D49" s="9"/>
      <c r="E49" s="384"/>
      <c r="F49" s="384"/>
      <c r="G49" s="384"/>
      <c r="H49" s="384"/>
      <c r="I49" s="384"/>
      <c r="J49" s="384"/>
      <c r="K49" s="384"/>
      <c r="L49" s="384"/>
      <c r="M49" s="384"/>
      <c r="N49" s="384"/>
    </row>
    <row r="50" spans="3:19" ht="27" customHeight="1" collapsed="1">
      <c r="C50" s="377"/>
      <c r="D50" s="386" t="s">
        <v>257</v>
      </c>
      <c r="E50" s="386"/>
      <c r="F50" s="386"/>
      <c r="G50" s="386"/>
      <c r="H50" s="386"/>
      <c r="I50" s="386"/>
      <c r="J50" s="386"/>
      <c r="K50" s="386"/>
      <c r="L50" s="386"/>
      <c r="M50" s="386"/>
      <c r="N50" s="386"/>
    </row>
    <row r="51" spans="3:19" ht="32.25" customHeight="1">
      <c r="C51" s="377"/>
      <c r="D51" s="10" t="s">
        <v>258</v>
      </c>
      <c r="E51" s="10"/>
      <c r="F51" s="10">
        <v>2017</v>
      </c>
      <c r="G51" s="10">
        <v>2018</v>
      </c>
      <c r="H51" s="10" t="s">
        <v>259</v>
      </c>
      <c r="I51" s="10"/>
      <c r="J51" s="11"/>
      <c r="K51" s="11"/>
      <c r="L51" s="11"/>
      <c r="M51" s="11"/>
      <c r="N51" s="11"/>
      <c r="S51" s="12"/>
    </row>
    <row r="52" spans="3:19" ht="40.5" customHeight="1">
      <c r="C52" s="377"/>
      <c r="D52" s="8" t="s">
        <v>260</v>
      </c>
      <c r="E52" s="11"/>
      <c r="F52" s="13"/>
      <c r="G52" s="13"/>
      <c r="H52" s="14">
        <f>[38]Лист1!O168</f>
        <v>2016000</v>
      </c>
      <c r="I52" s="15"/>
      <c r="J52" s="16"/>
      <c r="K52" s="10"/>
      <c r="L52" s="10"/>
      <c r="M52" s="10"/>
      <c r="N52" s="10"/>
    </row>
    <row r="53" spans="3:19" ht="38.25" customHeight="1">
      <c r="C53" s="377"/>
      <c r="D53" s="8" t="s">
        <v>261</v>
      </c>
      <c r="E53" s="13"/>
      <c r="F53" s="13"/>
      <c r="G53" s="13"/>
      <c r="H53" s="13">
        <f>[38]Лист1!O202</f>
        <v>191000</v>
      </c>
      <c r="I53" s="14"/>
      <c r="J53" s="16"/>
      <c r="K53" s="10"/>
      <c r="L53" s="10"/>
      <c r="M53" s="10"/>
      <c r="N53" s="10"/>
    </row>
    <row r="54" spans="3:19" ht="37.5" customHeight="1">
      <c r="C54" s="377"/>
      <c r="D54" s="8" t="s">
        <v>262</v>
      </c>
      <c r="E54" s="392" t="s">
        <v>263</v>
      </c>
      <c r="F54" s="392"/>
      <c r="G54" s="392"/>
      <c r="H54" s="392"/>
      <c r="I54" s="392"/>
      <c r="J54" s="392"/>
      <c r="K54" s="392"/>
      <c r="L54" s="392"/>
      <c r="M54" s="392"/>
      <c r="N54" s="392"/>
    </row>
    <row r="55" spans="3:19" ht="21" customHeight="1">
      <c r="C55" s="377"/>
      <c r="D55" s="419" t="s">
        <v>264</v>
      </c>
      <c r="E55" s="419"/>
      <c r="F55" s="419"/>
      <c r="G55" s="419"/>
      <c r="H55" s="419"/>
      <c r="I55" s="419"/>
      <c r="J55" s="419"/>
      <c r="K55" s="419"/>
      <c r="L55" s="419"/>
      <c r="M55" s="419"/>
      <c r="N55" s="419"/>
    </row>
    <row r="56" spans="3:19" ht="24.75" customHeight="1">
      <c r="C56" s="377"/>
      <c r="D56" s="9" t="s">
        <v>248</v>
      </c>
      <c r="E56" s="386" t="str">
        <f>E42</f>
        <v>Construction and repair</v>
      </c>
      <c r="F56" s="386"/>
      <c r="G56" s="386"/>
      <c r="H56" s="386"/>
      <c r="I56" s="386"/>
      <c r="J56" s="386"/>
      <c r="K56" s="386"/>
      <c r="L56" s="386"/>
      <c r="M56" s="386"/>
      <c r="N56" s="386"/>
    </row>
    <row r="57" spans="3:19" ht="24.75" customHeight="1">
      <c r="C57" s="377"/>
      <c r="D57" s="9" t="s">
        <v>265</v>
      </c>
      <c r="E57" s="17" t="s">
        <v>266</v>
      </c>
      <c r="F57" s="17"/>
      <c r="G57" s="17" t="s">
        <v>267</v>
      </c>
      <c r="H57" s="17" t="s">
        <v>268</v>
      </c>
      <c r="I57" s="17"/>
      <c r="J57" s="17" t="s">
        <v>269</v>
      </c>
      <c r="K57" s="11"/>
      <c r="L57" s="11"/>
      <c r="M57" s="11"/>
      <c r="N57" s="11"/>
    </row>
    <row r="58" spans="3:19" ht="29.25" customHeight="1">
      <c r="C58" s="377"/>
      <c r="D58" s="9" t="s">
        <v>253</v>
      </c>
      <c r="E58" s="18">
        <f>[38]Лист1!N235</f>
        <v>265000</v>
      </c>
      <c r="F58" s="19"/>
      <c r="G58" s="18">
        <f>[38]Лист1!N257</f>
        <v>55800</v>
      </c>
      <c r="H58" s="18">
        <f>[38]Лист1!N280</f>
        <v>14</v>
      </c>
      <c r="I58" s="19"/>
      <c r="J58" s="18">
        <f>[38]Лист1!N307</f>
        <v>30</v>
      </c>
      <c r="K58" s="6"/>
      <c r="L58" s="6"/>
      <c r="M58" s="6"/>
      <c r="N58" s="6"/>
    </row>
    <row r="59" spans="3:19" ht="24.75" customHeight="1">
      <c r="C59" s="377"/>
      <c r="D59" s="7" t="s">
        <v>270</v>
      </c>
      <c r="E59" s="17">
        <f>$E$44</f>
        <v>220</v>
      </c>
      <c r="F59" s="17"/>
      <c r="G59" s="17">
        <f>$E$44</f>
        <v>220</v>
      </c>
      <c r="H59" s="17">
        <f>$E$44</f>
        <v>220</v>
      </c>
      <c r="I59" s="17"/>
      <c r="J59" s="17">
        <f>$E$44</f>
        <v>220</v>
      </c>
      <c r="K59" s="11"/>
      <c r="L59" s="11"/>
      <c r="M59" s="11"/>
      <c r="N59" s="11"/>
    </row>
    <row r="60" spans="3:19" ht="36" hidden="1" customHeight="1" outlineLevel="1">
      <c r="C60" s="377"/>
      <c r="D60" s="9" t="s">
        <v>63</v>
      </c>
      <c r="E60" s="17"/>
      <c r="F60" s="17"/>
      <c r="G60" s="17"/>
      <c r="H60" s="17"/>
      <c r="I60" s="17"/>
      <c r="J60" s="17"/>
      <c r="K60" s="11"/>
      <c r="L60" s="11"/>
      <c r="M60" s="11"/>
      <c r="N60" s="11"/>
    </row>
    <row r="61" spans="3:19" ht="24.75" customHeight="1" collapsed="1">
      <c r="C61" s="377"/>
      <c r="D61" s="9" t="s">
        <v>255</v>
      </c>
      <c r="E61" s="20">
        <v>0.05</v>
      </c>
      <c r="F61" s="20"/>
      <c r="G61" s="20">
        <v>0.05</v>
      </c>
      <c r="H61" s="20">
        <v>0.05</v>
      </c>
      <c r="I61" s="20"/>
      <c r="J61" s="20">
        <v>0.05</v>
      </c>
      <c r="K61" s="11"/>
      <c r="L61" s="11"/>
      <c r="M61" s="11"/>
      <c r="N61" s="11"/>
    </row>
    <row r="62" spans="3:19" ht="24.75" customHeight="1">
      <c r="C62" s="377"/>
      <c r="D62" s="9" t="s">
        <v>271</v>
      </c>
      <c r="E62" s="18">
        <f>E58*E59</f>
        <v>58300000</v>
      </c>
      <c r="F62" s="17"/>
      <c r="G62" s="18">
        <f>G58*G59</f>
        <v>12276000</v>
      </c>
      <c r="H62" s="18">
        <f>H58*H59</f>
        <v>3080</v>
      </c>
      <c r="I62" s="17"/>
      <c r="J62" s="18">
        <f>J58*J59</f>
        <v>6600</v>
      </c>
      <c r="K62" s="11"/>
      <c r="L62" s="11"/>
      <c r="M62" s="11"/>
      <c r="N62" s="11"/>
    </row>
    <row r="63" spans="3:19" ht="24.75" customHeight="1">
      <c r="C63" s="377"/>
      <c r="D63" s="9" t="s">
        <v>256</v>
      </c>
      <c r="E63" s="18">
        <f>E62*$J$34</f>
        <v>782330476.19047618</v>
      </c>
      <c r="F63" s="18">
        <f t="shared" ref="F63:I63" si="0">F62*$J$34*0.15</f>
        <v>0</v>
      </c>
      <c r="G63" s="18">
        <f>G62*$J$34</f>
        <v>164732228.57142857</v>
      </c>
      <c r="H63" s="18">
        <f>H62*$J$34</f>
        <v>41330.666666666664</v>
      </c>
      <c r="I63" s="18">
        <f t="shared" si="0"/>
        <v>0</v>
      </c>
      <c r="J63" s="18">
        <f>J62*$J$34</f>
        <v>88565.71428571429</v>
      </c>
      <c r="K63" s="21"/>
      <c r="L63" s="21"/>
      <c r="M63" s="21"/>
      <c r="N63" s="21"/>
    </row>
    <row r="64" spans="3:19" ht="24.75" customHeight="1">
      <c r="C64" s="377"/>
      <c r="D64" s="9" t="s">
        <v>272</v>
      </c>
      <c r="E64" s="375">
        <f>SUM(E63:N63)</f>
        <v>947192601.14285707</v>
      </c>
      <c r="F64" s="375"/>
      <c r="G64" s="375"/>
      <c r="H64" s="375"/>
      <c r="I64" s="375"/>
      <c r="J64" s="375"/>
      <c r="K64" s="21"/>
      <c r="L64" s="21"/>
      <c r="M64" s="21"/>
      <c r="N64" s="21"/>
    </row>
    <row r="65" spans="3:14" ht="28.5" customHeight="1">
      <c r="C65" s="377"/>
      <c r="D65" s="386" t="s">
        <v>273</v>
      </c>
      <c r="E65" s="386"/>
      <c r="F65" s="386"/>
      <c r="G65" s="386"/>
      <c r="H65" s="386"/>
      <c r="I65" s="386"/>
      <c r="J65" s="386"/>
      <c r="K65" s="386"/>
      <c r="L65" s="386"/>
      <c r="M65" s="386"/>
      <c r="N65" s="386"/>
    </row>
    <row r="66" spans="3:14" ht="28.5" customHeight="1">
      <c r="C66" s="377"/>
      <c r="D66" s="10" t="s">
        <v>274</v>
      </c>
      <c r="E66" s="10"/>
      <c r="F66" s="10"/>
      <c r="G66" s="10">
        <v>2018</v>
      </c>
      <c r="H66" s="10">
        <v>2019</v>
      </c>
      <c r="I66" s="10"/>
      <c r="J66" s="11"/>
      <c r="K66" s="11"/>
      <c r="L66" s="11"/>
      <c r="M66" s="11"/>
      <c r="N66" s="11"/>
    </row>
    <row r="67" spans="3:14" ht="24" customHeight="1">
      <c r="C67" s="377"/>
      <c r="D67" s="8" t="s">
        <v>275</v>
      </c>
      <c r="E67" s="10"/>
      <c r="F67" s="22"/>
      <c r="G67" s="22"/>
      <c r="H67" s="46">
        <f>[38]Лист1!S383</f>
        <v>12.525</v>
      </c>
      <c r="I67" s="10"/>
      <c r="J67" s="23"/>
      <c r="K67" s="10"/>
      <c r="L67" s="10"/>
      <c r="M67" s="10"/>
      <c r="N67" s="10"/>
    </row>
    <row r="68" spans="3:14" ht="24" customHeight="1">
      <c r="C68" s="377"/>
      <c r="D68" s="8" t="s">
        <v>276</v>
      </c>
      <c r="E68" s="10"/>
      <c r="F68" s="22"/>
      <c r="G68" s="22"/>
      <c r="H68" s="46">
        <f>[38]Лист1!S386</f>
        <v>1.9</v>
      </c>
      <c r="I68" s="10"/>
      <c r="J68" s="23"/>
      <c r="K68" s="10"/>
      <c r="L68" s="10"/>
      <c r="M68" s="10"/>
      <c r="N68" s="10"/>
    </row>
    <row r="69" spans="3:14" ht="20.25" customHeight="1">
      <c r="C69" s="377"/>
      <c r="D69" s="8" t="s">
        <v>277</v>
      </c>
      <c r="E69" s="24"/>
      <c r="F69" s="22"/>
      <c r="G69" s="22"/>
      <c r="H69" s="46">
        <f>[38]Лист1!S388</f>
        <v>17</v>
      </c>
      <c r="I69" s="10"/>
      <c r="J69" s="23"/>
      <c r="K69" s="10"/>
      <c r="L69" s="10"/>
      <c r="M69" s="10"/>
      <c r="N69" s="10"/>
    </row>
    <row r="70" spans="3:14" ht="24" customHeight="1">
      <c r="C70" s="377"/>
      <c r="D70" s="8" t="s">
        <v>278</v>
      </c>
      <c r="E70" s="25"/>
      <c r="F70" s="22"/>
      <c r="G70" s="22"/>
      <c r="H70" s="46">
        <f>[38]Лист1!S384</f>
        <v>7.4</v>
      </c>
      <c r="I70" s="10"/>
      <c r="J70" s="23"/>
      <c r="K70" s="10"/>
      <c r="L70" s="10"/>
      <c r="M70" s="10"/>
      <c r="N70" s="10"/>
    </row>
    <row r="71" spans="3:14" ht="19.5" customHeight="1">
      <c r="C71" s="377"/>
      <c r="D71" s="8" t="s">
        <v>279</v>
      </c>
      <c r="E71" s="25"/>
      <c r="F71" s="22"/>
      <c r="G71" s="22"/>
      <c r="H71" s="46">
        <f>[38]Лист1!S385</f>
        <v>3.6</v>
      </c>
      <c r="I71" s="10"/>
      <c r="J71" s="23"/>
      <c r="K71" s="10"/>
      <c r="L71" s="10"/>
      <c r="M71" s="10"/>
      <c r="N71" s="10"/>
    </row>
    <row r="72" spans="3:14" ht="40.5" hidden="1" customHeight="1" outlineLevel="1">
      <c r="C72" s="377"/>
      <c r="D72" s="8" t="s">
        <v>73</v>
      </c>
      <c r="E72" s="10"/>
      <c r="F72" s="10"/>
      <c r="G72" s="10"/>
      <c r="H72" s="10"/>
      <c r="I72" s="10"/>
      <c r="J72" s="10"/>
      <c r="K72" s="10"/>
      <c r="L72" s="10"/>
      <c r="M72" s="10"/>
      <c r="N72" s="10"/>
    </row>
    <row r="73" spans="3:14" ht="21" hidden="1" customHeight="1" outlineLevel="1">
      <c r="C73" s="377"/>
      <c r="D73" s="8" t="s">
        <v>74</v>
      </c>
      <c r="E73" s="10"/>
      <c r="F73" s="10"/>
      <c r="G73" s="10"/>
      <c r="H73" s="10"/>
      <c r="I73" s="10"/>
      <c r="J73" s="10"/>
      <c r="K73" s="10"/>
      <c r="L73" s="10"/>
      <c r="M73" s="10"/>
      <c r="N73" s="10"/>
    </row>
    <row r="74" spans="3:14" ht="21" hidden="1" customHeight="1" outlineLevel="1">
      <c r="C74" s="377"/>
      <c r="D74" s="8" t="s">
        <v>75</v>
      </c>
      <c r="E74" s="10"/>
      <c r="F74" s="10"/>
      <c r="G74" s="10"/>
      <c r="H74" s="10"/>
      <c r="I74" s="10"/>
      <c r="J74" s="10"/>
      <c r="K74" s="10"/>
      <c r="L74" s="10"/>
      <c r="M74" s="10"/>
      <c r="N74" s="10"/>
    </row>
    <row r="75" spans="3:14" ht="21" hidden="1" customHeight="1" outlineLevel="1">
      <c r="C75" s="377"/>
      <c r="D75" s="8" t="s">
        <v>76</v>
      </c>
      <c r="E75" s="10"/>
      <c r="F75" s="10"/>
      <c r="G75" s="10"/>
      <c r="H75" s="10"/>
      <c r="I75" s="10"/>
      <c r="J75" s="10"/>
      <c r="K75" s="10"/>
      <c r="L75" s="10"/>
      <c r="M75" s="10"/>
      <c r="N75" s="10"/>
    </row>
    <row r="76" spans="3:14" ht="21" hidden="1" customHeight="1" outlineLevel="1">
      <c r="C76" s="377"/>
      <c r="D76" s="8" t="s">
        <v>76</v>
      </c>
      <c r="E76" s="10"/>
      <c r="F76" s="10"/>
      <c r="G76" s="10"/>
      <c r="H76" s="10"/>
      <c r="I76" s="10"/>
      <c r="J76" s="10"/>
      <c r="K76" s="10"/>
      <c r="L76" s="10"/>
      <c r="M76" s="10"/>
      <c r="N76" s="10"/>
    </row>
    <row r="77" spans="3:14" ht="30.75" hidden="1" customHeight="1" outlineLevel="1">
      <c r="C77" s="377"/>
      <c r="D77" s="8" t="s">
        <v>77</v>
      </c>
      <c r="E77" s="382"/>
      <c r="F77" s="382"/>
      <c r="G77" s="382"/>
      <c r="H77" s="382"/>
      <c r="I77" s="382"/>
      <c r="J77" s="382"/>
      <c r="K77" s="382"/>
      <c r="L77" s="382"/>
      <c r="M77" s="382"/>
      <c r="N77" s="382"/>
    </row>
    <row r="78" spans="3:14" ht="30" customHeight="1" collapsed="1">
      <c r="C78" s="377"/>
      <c r="D78" s="8" t="s">
        <v>280</v>
      </c>
      <c r="E78" s="379">
        <f>SUM(H67:H71)</f>
        <v>42.425000000000004</v>
      </c>
      <c r="F78" s="379"/>
      <c r="G78" s="382"/>
      <c r="H78" s="382"/>
      <c r="I78" s="382"/>
      <c r="J78" s="382"/>
      <c r="K78" s="382"/>
      <c r="L78" s="382"/>
      <c r="M78" s="382"/>
      <c r="N78" s="382"/>
    </row>
    <row r="79" spans="3:14" ht="21" customHeight="1">
      <c r="C79" s="377"/>
      <c r="D79" s="417" t="s">
        <v>281</v>
      </c>
      <c r="E79" s="417"/>
      <c r="F79" s="417"/>
      <c r="G79" s="417"/>
      <c r="H79" s="417"/>
      <c r="I79" s="417"/>
      <c r="J79" s="417"/>
      <c r="K79" s="417"/>
      <c r="L79" s="417"/>
      <c r="M79" s="417"/>
      <c r="N79" s="417"/>
    </row>
    <row r="80" spans="3:14" ht="24.75" customHeight="1">
      <c r="C80" s="377"/>
      <c r="D80" s="9" t="s">
        <v>282</v>
      </c>
      <c r="E80" s="11"/>
      <c r="F80" s="11"/>
      <c r="G80" s="14">
        <f>[38]Лист1!V679</f>
        <v>104598</v>
      </c>
      <c r="H80" s="14"/>
      <c r="I80" s="11"/>
      <c r="J80" s="11"/>
      <c r="K80" s="11"/>
      <c r="L80" s="11"/>
      <c r="M80" s="11"/>
      <c r="N80" s="11"/>
    </row>
    <row r="81" spans="3:14" ht="24.75" customHeight="1">
      <c r="C81" s="377"/>
      <c r="D81" s="9" t="s">
        <v>283</v>
      </c>
      <c r="E81" s="11"/>
      <c r="F81" s="11"/>
      <c r="G81" s="14">
        <f>[38]Лист1!V680</f>
        <v>35000</v>
      </c>
      <c r="H81" s="14"/>
      <c r="I81" s="11"/>
      <c r="J81" s="11"/>
      <c r="K81" s="11"/>
      <c r="L81" s="11"/>
      <c r="M81" s="11"/>
      <c r="N81" s="11"/>
    </row>
    <row r="82" spans="3:14" ht="24.75" customHeight="1">
      <c r="C82" s="377"/>
      <c r="D82" s="9" t="s">
        <v>284</v>
      </c>
      <c r="E82" s="11"/>
      <c r="F82" s="11"/>
      <c r="G82" s="14">
        <f>[38]Лист1!V681</f>
        <v>69000</v>
      </c>
      <c r="H82" s="14"/>
      <c r="I82" s="11"/>
      <c r="J82" s="11"/>
      <c r="K82" s="11"/>
      <c r="L82" s="11"/>
      <c r="M82" s="11"/>
      <c r="N82" s="11"/>
    </row>
    <row r="83" spans="3:14" ht="36" customHeight="1">
      <c r="C83" s="377"/>
      <c r="D83" s="9" t="s">
        <v>285</v>
      </c>
      <c r="E83" s="11"/>
      <c r="F83" s="11"/>
      <c r="G83" s="14">
        <f>[38]Лист1!V682</f>
        <v>44000</v>
      </c>
      <c r="H83" s="14"/>
      <c r="I83" s="11"/>
      <c r="J83" s="11"/>
      <c r="K83" s="11"/>
      <c r="L83" s="11"/>
      <c r="M83" s="11"/>
      <c r="N83" s="11"/>
    </row>
    <row r="84" spans="3:14" ht="24.75" customHeight="1">
      <c r="C84" s="377"/>
      <c r="D84" s="9" t="s">
        <v>286</v>
      </c>
      <c r="E84" s="11"/>
      <c r="F84" s="11"/>
      <c r="G84" s="14">
        <f>[38]Лист1!V683</f>
        <v>63000</v>
      </c>
      <c r="H84" s="14"/>
      <c r="I84" s="11"/>
      <c r="J84" s="11"/>
      <c r="K84" s="11"/>
      <c r="L84" s="11"/>
      <c r="M84" s="11"/>
      <c r="N84" s="11"/>
    </row>
    <row r="85" spans="3:14" ht="24.75" customHeight="1">
      <c r="C85" s="377"/>
      <c r="D85" s="9" t="s">
        <v>287</v>
      </c>
      <c r="E85" s="11"/>
      <c r="F85" s="11"/>
      <c r="G85" s="26">
        <f>SUM(G80:G84)</f>
        <v>315598</v>
      </c>
      <c r="H85" s="26">
        <f>SUM(H80:H84)</f>
        <v>0</v>
      </c>
      <c r="I85" s="11"/>
      <c r="J85" s="11"/>
      <c r="K85" s="11"/>
      <c r="L85" s="11"/>
      <c r="M85" s="11"/>
      <c r="N85" s="11"/>
    </row>
    <row r="86" spans="3:14" ht="24.75" customHeight="1">
      <c r="C86" s="377"/>
      <c r="D86" s="9" t="s">
        <v>256</v>
      </c>
      <c r="E86" s="375">
        <f>G85*[38]Лист1!O11</f>
        <v>4235024.5904761907</v>
      </c>
      <c r="F86" s="375"/>
      <c r="G86" s="375"/>
      <c r="H86" s="375"/>
      <c r="I86" s="375"/>
      <c r="J86" s="375"/>
      <c r="K86" s="375"/>
      <c r="L86" s="375"/>
      <c r="M86" s="375"/>
      <c r="N86" s="375"/>
    </row>
    <row r="87" spans="3:14" ht="21" customHeight="1">
      <c r="C87" s="377"/>
      <c r="D87" s="418" t="s">
        <v>288</v>
      </c>
      <c r="E87" s="418"/>
      <c r="F87" s="418"/>
      <c r="G87" s="418"/>
      <c r="H87" s="418"/>
      <c r="I87" s="418"/>
      <c r="J87" s="418"/>
      <c r="K87" s="418"/>
      <c r="L87" s="418"/>
      <c r="M87" s="418"/>
      <c r="N87" s="418"/>
    </row>
    <row r="88" spans="3:14" ht="66.75" hidden="1" customHeight="1" outlineLevel="1">
      <c r="C88" s="377"/>
      <c r="D88" s="8" t="s">
        <v>82</v>
      </c>
      <c r="E88" s="386"/>
      <c r="F88" s="386"/>
      <c r="G88" s="386"/>
      <c r="H88" s="386"/>
      <c r="I88" s="386"/>
      <c r="J88" s="386"/>
      <c r="K88" s="386"/>
      <c r="L88" s="386"/>
      <c r="M88" s="386"/>
      <c r="N88" s="386"/>
    </row>
    <row r="89" spans="3:14" ht="74.25" hidden="1" customHeight="1" outlineLevel="1">
      <c r="C89" s="377"/>
      <c r="D89" s="10" t="s">
        <v>83</v>
      </c>
      <c r="E89" s="382"/>
      <c r="F89" s="382"/>
      <c r="G89" s="382"/>
      <c r="H89" s="382"/>
      <c r="I89" s="382"/>
      <c r="J89" s="382"/>
      <c r="K89" s="382"/>
      <c r="L89" s="382"/>
      <c r="M89" s="382"/>
      <c r="N89" s="382"/>
    </row>
    <row r="90" spans="3:14" ht="24.75" customHeight="1" collapsed="1">
      <c r="C90" s="377"/>
      <c r="D90" s="27" t="s">
        <v>289</v>
      </c>
      <c r="E90" s="416">
        <f>E78*1000000+E86</f>
        <v>46660024.5904762</v>
      </c>
      <c r="F90" s="416"/>
      <c r="G90" s="416"/>
      <c r="H90" s="416"/>
      <c r="I90" s="416"/>
      <c r="J90" s="416">
        <f>E48</f>
        <v>1254680.9523809524</v>
      </c>
      <c r="K90" s="416"/>
      <c r="L90" s="416"/>
      <c r="M90" s="416"/>
      <c r="N90" s="416"/>
    </row>
    <row r="91" spans="3:14" ht="36.75" customHeight="1">
      <c r="C91" s="377"/>
      <c r="D91" s="27" t="s">
        <v>290</v>
      </c>
      <c r="E91" s="415">
        <v>0.7</v>
      </c>
      <c r="F91" s="415"/>
      <c r="G91" s="415"/>
      <c r="H91" s="415"/>
      <c r="I91" s="415"/>
      <c r="J91" s="415">
        <f>1-E91</f>
        <v>0.30000000000000004</v>
      </c>
      <c r="K91" s="415"/>
      <c r="L91" s="415"/>
      <c r="M91" s="415"/>
      <c r="N91" s="415"/>
    </row>
    <row r="92" spans="3:14" ht="21.75" customHeight="1">
      <c r="C92" s="377"/>
      <c r="D92" s="27" t="s">
        <v>291</v>
      </c>
      <c r="E92" s="414">
        <f>E91*$E$39/E90</f>
        <v>3.4309797606209572E-2</v>
      </c>
      <c r="F92" s="414"/>
      <c r="G92" s="414"/>
      <c r="H92" s="414"/>
      <c r="I92" s="414"/>
      <c r="J92" s="415">
        <f>J91*$E$39/J90</f>
        <v>0.54683087713438827</v>
      </c>
      <c r="K92" s="415"/>
      <c r="L92" s="415"/>
      <c r="M92" s="415"/>
      <c r="N92" s="415"/>
    </row>
    <row r="93" spans="3:14" ht="33.75" customHeight="1">
      <c r="C93" s="377">
        <v>4</v>
      </c>
      <c r="D93" s="378" t="s">
        <v>292</v>
      </c>
      <c r="E93" s="378"/>
      <c r="F93" s="378"/>
      <c r="G93" s="378"/>
      <c r="H93" s="378"/>
      <c r="I93" s="378"/>
      <c r="J93" s="378"/>
      <c r="K93" s="378"/>
      <c r="L93" s="378"/>
      <c r="M93" s="378"/>
      <c r="N93" s="378"/>
    </row>
    <row r="94" spans="3:14" ht="35.25" customHeight="1">
      <c r="C94" s="377"/>
      <c r="D94" s="10" t="s">
        <v>293</v>
      </c>
      <c r="E94" s="382" t="s">
        <v>294</v>
      </c>
      <c r="F94" s="382"/>
      <c r="G94" s="382"/>
      <c r="H94" s="382"/>
      <c r="I94" s="382"/>
      <c r="J94" s="382"/>
      <c r="K94" s="382"/>
      <c r="L94" s="382"/>
      <c r="M94" s="382"/>
      <c r="N94" s="382"/>
    </row>
    <row r="95" spans="3:14" ht="53.25" customHeight="1">
      <c r="C95" s="377"/>
      <c r="D95" s="7" t="s">
        <v>295</v>
      </c>
      <c r="E95" s="382" t="s">
        <v>296</v>
      </c>
      <c r="F95" s="382"/>
      <c r="G95" s="382"/>
      <c r="H95" s="382"/>
      <c r="I95" s="382" t="s">
        <v>297</v>
      </c>
      <c r="J95" s="382"/>
      <c r="K95" s="382"/>
      <c r="L95" s="382"/>
      <c r="M95" s="382"/>
      <c r="N95" s="382"/>
    </row>
    <row r="96" spans="3:14" ht="50.25" customHeight="1">
      <c r="C96" s="377"/>
      <c r="D96" s="8" t="s">
        <v>298</v>
      </c>
      <c r="E96" s="375">
        <f>[38]Лист1!Q470</f>
        <v>1843.2</v>
      </c>
      <c r="F96" s="375"/>
      <c r="G96" s="375"/>
      <c r="H96" s="375"/>
      <c r="I96" s="375">
        <f>[38]Лист1!Q528</f>
        <v>38400</v>
      </c>
      <c r="J96" s="375"/>
      <c r="K96" s="375"/>
      <c r="L96" s="375"/>
      <c r="M96" s="375"/>
      <c r="N96" s="375"/>
    </row>
    <row r="97" spans="3:14" ht="26.25" customHeight="1">
      <c r="C97" s="377"/>
      <c r="D97" s="8" t="s">
        <v>299</v>
      </c>
      <c r="E97" s="407" t="s">
        <v>300</v>
      </c>
      <c r="F97" s="408"/>
      <c r="G97" s="408"/>
      <c r="H97" s="409"/>
      <c r="I97" s="407" t="s">
        <v>300</v>
      </c>
      <c r="J97" s="408"/>
      <c r="K97" s="408"/>
      <c r="L97" s="408"/>
      <c r="M97" s="408"/>
      <c r="N97" s="409"/>
    </row>
    <row r="98" spans="3:14" ht="21" customHeight="1">
      <c r="C98" s="377"/>
      <c r="D98" s="8" t="s">
        <v>301</v>
      </c>
      <c r="E98" s="410">
        <f>[38]Лист1!O499</f>
        <v>1850000</v>
      </c>
      <c r="F98" s="410"/>
      <c r="G98" s="410"/>
      <c r="H98" s="410"/>
      <c r="I98" s="410">
        <f>[38]Лист1!O557</f>
        <v>1150000</v>
      </c>
      <c r="J98" s="410"/>
      <c r="K98" s="410"/>
      <c r="L98" s="410"/>
      <c r="M98" s="410"/>
      <c r="N98" s="410"/>
    </row>
    <row r="99" spans="3:14" ht="18" customHeight="1">
      <c r="C99" s="377"/>
      <c r="D99" s="8" t="s">
        <v>302</v>
      </c>
      <c r="E99" s="411" t="s">
        <v>98</v>
      </c>
      <c r="F99" s="412"/>
      <c r="G99" s="412"/>
      <c r="H99" s="412"/>
      <c r="I99" s="411" t="s">
        <v>99</v>
      </c>
      <c r="J99" s="412"/>
      <c r="K99" s="412"/>
      <c r="L99" s="412"/>
      <c r="M99" s="412"/>
      <c r="N99" s="412"/>
    </row>
    <row r="100" spans="3:14" ht="409.5" customHeight="1">
      <c r="C100" s="377"/>
      <c r="D100" s="8" t="s">
        <v>303</v>
      </c>
      <c r="E100" s="413" t="s">
        <v>304</v>
      </c>
      <c r="F100" s="402"/>
      <c r="G100" s="402"/>
      <c r="H100" s="403"/>
      <c r="I100" s="401" t="s">
        <v>305</v>
      </c>
      <c r="J100" s="402"/>
      <c r="K100" s="402"/>
      <c r="L100" s="402"/>
      <c r="M100" s="402"/>
      <c r="N100" s="403"/>
    </row>
    <row r="101" spans="3:14" ht="50.25" customHeight="1">
      <c r="C101" s="377"/>
      <c r="D101" s="8" t="s">
        <v>306</v>
      </c>
      <c r="E101" s="388" t="s">
        <v>307</v>
      </c>
      <c r="F101" s="389"/>
      <c r="G101" s="389"/>
      <c r="H101" s="390"/>
      <c r="I101" s="388" t="s">
        <v>308</v>
      </c>
      <c r="J101" s="389"/>
      <c r="K101" s="389"/>
      <c r="L101" s="389"/>
      <c r="M101" s="389"/>
      <c r="N101" s="390"/>
    </row>
    <row r="102" spans="3:14" ht="36.75" customHeight="1">
      <c r="C102" s="377"/>
      <c r="D102" s="376" t="s">
        <v>309</v>
      </c>
      <c r="E102" s="398" t="s">
        <v>310</v>
      </c>
      <c r="F102" s="399"/>
      <c r="G102" s="399"/>
      <c r="H102" s="399"/>
      <c r="I102" s="399"/>
      <c r="J102" s="399"/>
      <c r="K102" s="399"/>
      <c r="L102" s="399"/>
      <c r="M102" s="399"/>
      <c r="N102" s="400"/>
    </row>
    <row r="103" spans="3:14" ht="36.75" hidden="1" customHeight="1" outlineLevel="1">
      <c r="C103" s="377"/>
      <c r="D103" s="376"/>
      <c r="E103" s="382" t="s">
        <v>109</v>
      </c>
      <c r="F103" s="382"/>
      <c r="G103" s="382"/>
      <c r="H103" s="382"/>
      <c r="I103" s="10"/>
      <c r="J103" s="382" t="s">
        <v>109</v>
      </c>
      <c r="K103" s="382"/>
      <c r="L103" s="382"/>
      <c r="M103" s="382"/>
      <c r="N103" s="382"/>
    </row>
    <row r="104" spans="3:14" ht="36.75" hidden="1" customHeight="1" outlineLevel="1">
      <c r="C104" s="377"/>
      <c r="D104" s="376"/>
      <c r="E104" s="382" t="s">
        <v>109</v>
      </c>
      <c r="F104" s="382"/>
      <c r="G104" s="382"/>
      <c r="H104" s="382"/>
      <c r="I104" s="10"/>
      <c r="J104" s="382" t="s">
        <v>109</v>
      </c>
      <c r="K104" s="382"/>
      <c r="L104" s="382"/>
      <c r="M104" s="382"/>
      <c r="N104" s="382"/>
    </row>
    <row r="105" spans="3:14" ht="33" customHeight="1" collapsed="1">
      <c r="C105" s="377"/>
      <c r="D105" s="8" t="s">
        <v>311</v>
      </c>
      <c r="E105" s="398">
        <v>150</v>
      </c>
      <c r="F105" s="399"/>
      <c r="G105" s="399"/>
      <c r="H105" s="400"/>
      <c r="I105" s="398">
        <v>200</v>
      </c>
      <c r="J105" s="399"/>
      <c r="K105" s="399"/>
      <c r="L105" s="399"/>
      <c r="M105" s="399"/>
      <c r="N105" s="400"/>
    </row>
    <row r="106" spans="3:14" ht="35.25" customHeight="1">
      <c r="C106" s="377"/>
      <c r="D106" s="8" t="s">
        <v>312</v>
      </c>
      <c r="E106" s="398">
        <v>3</v>
      </c>
      <c r="F106" s="399"/>
      <c r="G106" s="399"/>
      <c r="H106" s="400"/>
      <c r="I106" s="398">
        <v>4</v>
      </c>
      <c r="J106" s="399"/>
      <c r="K106" s="399"/>
      <c r="L106" s="399"/>
      <c r="M106" s="399"/>
      <c r="N106" s="400"/>
    </row>
    <row r="107" spans="3:14" ht="21.75" customHeight="1">
      <c r="C107" s="377"/>
      <c r="D107" s="376" t="s">
        <v>313</v>
      </c>
      <c r="E107" s="376"/>
      <c r="F107" s="376"/>
      <c r="G107" s="376"/>
      <c r="H107" s="376"/>
      <c r="I107" s="376"/>
      <c r="J107" s="376"/>
      <c r="K107" s="376"/>
      <c r="L107" s="376"/>
      <c r="M107" s="376"/>
      <c r="N107" s="376"/>
    </row>
    <row r="108" spans="3:14" ht="114" customHeight="1">
      <c r="C108" s="377"/>
      <c r="D108" s="8" t="s">
        <v>314</v>
      </c>
      <c r="E108" s="457" t="s">
        <v>315</v>
      </c>
      <c r="F108" s="458"/>
      <c r="G108" s="458"/>
      <c r="H108" s="459"/>
      <c r="I108" s="388" t="s">
        <v>316</v>
      </c>
      <c r="J108" s="389"/>
      <c r="K108" s="389"/>
      <c r="L108" s="389"/>
      <c r="M108" s="389"/>
      <c r="N108" s="390"/>
    </row>
    <row r="109" spans="3:14" ht="35.25" customHeight="1">
      <c r="C109" s="377"/>
      <c r="D109" s="8" t="s">
        <v>317</v>
      </c>
      <c r="E109" s="393">
        <f>E96</f>
        <v>1843.2</v>
      </c>
      <c r="F109" s="394"/>
      <c r="G109" s="394"/>
      <c r="H109" s="395"/>
      <c r="I109" s="393">
        <f>I96</f>
        <v>38400</v>
      </c>
      <c r="J109" s="394"/>
      <c r="K109" s="394"/>
      <c r="L109" s="394"/>
      <c r="M109" s="394"/>
      <c r="N109" s="395"/>
    </row>
    <row r="110" spans="3:14" ht="16.5" customHeight="1">
      <c r="C110" s="377"/>
      <c r="D110" s="8" t="s">
        <v>318</v>
      </c>
      <c r="E110" s="376" t="str">
        <f>E94</f>
        <v>Italy, China, Russia, Germany</v>
      </c>
      <c r="F110" s="376"/>
      <c r="G110" s="376"/>
      <c r="H110" s="376"/>
      <c r="I110" s="376"/>
      <c r="J110" s="376"/>
      <c r="K110" s="376"/>
      <c r="L110" s="376"/>
      <c r="M110" s="376"/>
      <c r="N110" s="376"/>
    </row>
    <row r="111" spans="3:14" ht="16.5" customHeight="1">
      <c r="C111" s="377"/>
      <c r="D111" s="8" t="s">
        <v>319</v>
      </c>
      <c r="E111" s="456">
        <f>E98+I98</f>
        <v>3000000</v>
      </c>
      <c r="F111" s="456"/>
      <c r="G111" s="456"/>
      <c r="H111" s="456"/>
      <c r="I111" s="456"/>
      <c r="J111" s="456"/>
      <c r="K111" s="456"/>
      <c r="L111" s="456"/>
      <c r="M111" s="456"/>
      <c r="N111" s="456"/>
    </row>
    <row r="112" spans="3:14" ht="18" customHeight="1">
      <c r="C112" s="377"/>
      <c r="D112" s="8" t="s">
        <v>320</v>
      </c>
      <c r="E112" s="376">
        <f>E105+I105</f>
        <v>350</v>
      </c>
      <c r="F112" s="376"/>
      <c r="G112" s="376"/>
      <c r="H112" s="376"/>
      <c r="I112" s="376"/>
      <c r="J112" s="376"/>
      <c r="K112" s="376"/>
      <c r="L112" s="376"/>
      <c r="M112" s="376"/>
      <c r="N112" s="376"/>
    </row>
    <row r="113" spans="3:14" ht="18" customHeight="1">
      <c r="C113" s="377"/>
      <c r="D113" s="8" t="s">
        <v>321</v>
      </c>
      <c r="E113" s="397" t="s">
        <v>322</v>
      </c>
      <c r="F113" s="397"/>
      <c r="G113" s="376"/>
      <c r="H113" s="376"/>
      <c r="I113" s="376"/>
      <c r="J113" s="376"/>
      <c r="K113" s="376"/>
      <c r="L113" s="376"/>
      <c r="M113" s="376"/>
      <c r="N113" s="376"/>
    </row>
    <row r="114" spans="3:14" ht="17.25" customHeight="1">
      <c r="C114" s="377"/>
      <c r="D114" s="8" t="s">
        <v>323</v>
      </c>
      <c r="E114" s="391" t="s">
        <v>324</v>
      </c>
      <c r="F114" s="391"/>
      <c r="G114" s="391"/>
      <c r="H114" s="391"/>
      <c r="I114" s="391"/>
      <c r="J114" s="391"/>
      <c r="K114" s="391"/>
      <c r="L114" s="391"/>
      <c r="M114" s="391"/>
      <c r="N114" s="391"/>
    </row>
    <row r="115" spans="3:14" ht="33" customHeight="1">
      <c r="C115" s="377">
        <v>5</v>
      </c>
      <c r="D115" s="378" t="s">
        <v>325</v>
      </c>
      <c r="E115" s="378"/>
      <c r="F115" s="378"/>
      <c r="G115" s="378"/>
      <c r="H115" s="378"/>
      <c r="I115" s="378"/>
      <c r="J115" s="378"/>
      <c r="K115" s="378"/>
      <c r="L115" s="378"/>
      <c r="M115" s="378"/>
      <c r="N115" s="378"/>
    </row>
    <row r="116" spans="3:14" ht="79.5" customHeight="1">
      <c r="C116" s="377"/>
      <c r="D116" s="8" t="s">
        <v>326</v>
      </c>
      <c r="E116" s="11" t="s">
        <v>327</v>
      </c>
      <c r="F116" s="11"/>
      <c r="G116" s="11"/>
      <c r="H116" s="11"/>
      <c r="I116" s="11" t="s">
        <v>230</v>
      </c>
      <c r="J116" s="11" t="s">
        <v>328</v>
      </c>
      <c r="K116" s="11"/>
      <c r="L116" s="11" t="s">
        <v>329</v>
      </c>
      <c r="M116" s="11"/>
      <c r="N116" s="11" t="s">
        <v>330</v>
      </c>
    </row>
    <row r="117" spans="3:14" ht="15" customHeight="1">
      <c r="C117" s="377"/>
      <c r="D117" s="8" t="s">
        <v>331</v>
      </c>
      <c r="E117" s="11" t="s">
        <v>332</v>
      </c>
      <c r="F117" s="11" t="s">
        <v>332</v>
      </c>
      <c r="G117" s="11" t="s">
        <v>332</v>
      </c>
      <c r="H117" s="11" t="s">
        <v>332</v>
      </c>
      <c r="I117" s="11" t="s">
        <v>332</v>
      </c>
      <c r="J117" s="11" t="s">
        <v>332</v>
      </c>
      <c r="K117" s="11" t="s">
        <v>332</v>
      </c>
      <c r="L117" s="11" t="s">
        <v>332</v>
      </c>
      <c r="M117" s="11"/>
      <c r="N117" s="11"/>
    </row>
    <row r="118" spans="3:14" ht="30" hidden="1" customHeight="1" outlineLevel="1">
      <c r="C118" s="377"/>
      <c r="D118" s="8" t="s">
        <v>133</v>
      </c>
      <c r="E118" s="6"/>
      <c r="F118" s="6"/>
      <c r="G118" s="6"/>
      <c r="H118" s="6"/>
      <c r="I118" s="6"/>
      <c r="J118" s="6"/>
      <c r="K118" s="6"/>
      <c r="L118" s="6"/>
      <c r="M118" s="6"/>
      <c r="N118" s="6"/>
    </row>
    <row r="119" spans="3:14" ht="28.5" customHeight="1" collapsed="1">
      <c r="C119" s="377"/>
      <c r="D119" s="8" t="s">
        <v>333</v>
      </c>
      <c r="E119" s="28">
        <v>65</v>
      </c>
      <c r="F119" s="28"/>
      <c r="G119" s="28"/>
      <c r="H119" s="28"/>
      <c r="I119" s="28">
        <v>300</v>
      </c>
      <c r="J119" s="28">
        <v>5250</v>
      </c>
      <c r="K119" s="28"/>
      <c r="L119" s="28">
        <f>2200/10500</f>
        <v>0.20952380952380953</v>
      </c>
      <c r="M119" s="28"/>
      <c r="N119" s="28">
        <f>H119</f>
        <v>0</v>
      </c>
    </row>
    <row r="120" spans="3:14" ht="27.75" customHeight="1">
      <c r="C120" s="377"/>
      <c r="D120" s="8" t="s">
        <v>334</v>
      </c>
      <c r="E120" s="28">
        <v>25</v>
      </c>
      <c r="F120" s="28">
        <f>E37</f>
        <v>757028.57142857159</v>
      </c>
      <c r="G120" s="28"/>
      <c r="H120" s="28"/>
      <c r="I120" s="28">
        <v>25</v>
      </c>
      <c r="J120" s="28">
        <v>2.5</v>
      </c>
      <c r="K120" s="28"/>
      <c r="L120" s="30">
        <f>J37</f>
        <v>386468.57142857142</v>
      </c>
      <c r="M120" s="28"/>
      <c r="N120" s="30">
        <f>L120/20</f>
        <v>19323.428571428572</v>
      </c>
    </row>
    <row r="121" spans="3:14" ht="15" customHeight="1">
      <c r="C121" s="377"/>
      <c r="D121" s="8" t="s">
        <v>335</v>
      </c>
      <c r="E121" s="11" t="s">
        <v>336</v>
      </c>
      <c r="F121" s="11"/>
      <c r="G121" s="11" t="s">
        <v>337</v>
      </c>
      <c r="H121" s="11"/>
      <c r="I121" s="11" t="s">
        <v>338</v>
      </c>
      <c r="J121" s="11" t="s">
        <v>339</v>
      </c>
      <c r="K121" s="11" t="s">
        <v>340</v>
      </c>
      <c r="L121" s="11"/>
      <c r="M121" s="11"/>
      <c r="N121" s="11" t="s">
        <v>340</v>
      </c>
    </row>
    <row r="122" spans="3:14" ht="15" customHeight="1">
      <c r="C122" s="377"/>
      <c r="D122" s="8" t="s">
        <v>341</v>
      </c>
      <c r="E122" s="14">
        <f>(E105+I105)*100</f>
        <v>35000</v>
      </c>
      <c r="F122" s="14"/>
      <c r="G122" s="14">
        <v>12500</v>
      </c>
      <c r="H122" s="14"/>
      <c r="I122" s="14"/>
      <c r="J122" s="11">
        <v>150</v>
      </c>
      <c r="K122" s="11" t="s">
        <v>342</v>
      </c>
      <c r="L122" s="11"/>
      <c r="M122" s="11"/>
      <c r="N122" s="11" t="s">
        <v>342</v>
      </c>
    </row>
    <row r="123" spans="3:14" ht="15" customHeight="1">
      <c r="C123" s="377"/>
      <c r="D123" s="8" t="s">
        <v>343</v>
      </c>
      <c r="E123" s="31">
        <f>450/[38]Input1!I2</f>
        <v>4.2857142857142858E-2</v>
      </c>
      <c r="F123" s="31"/>
      <c r="G123" s="13"/>
      <c r="H123" s="13"/>
      <c r="I123" s="13">
        <f>600/10500</f>
        <v>5.7142857142857141E-2</v>
      </c>
      <c r="J123" s="11">
        <v>660</v>
      </c>
      <c r="K123" s="11"/>
      <c r="L123" s="11"/>
      <c r="M123" s="11"/>
      <c r="N123" s="11"/>
    </row>
    <row r="124" spans="3:14" ht="14.25" hidden="1" customHeight="1" outlineLevel="1">
      <c r="C124" s="377"/>
      <c r="D124" s="8"/>
      <c r="E124" s="392"/>
      <c r="F124" s="392"/>
      <c r="G124" s="392"/>
      <c r="H124" s="392"/>
      <c r="I124" s="392"/>
      <c r="J124" s="392"/>
      <c r="K124" s="392"/>
      <c r="L124" s="392"/>
      <c r="M124" s="392"/>
      <c r="N124" s="392"/>
    </row>
    <row r="125" spans="3:14" ht="14.25" hidden="1" customHeight="1" outlineLevel="1">
      <c r="C125" s="377"/>
      <c r="D125" s="8"/>
      <c r="E125" s="392"/>
      <c r="F125" s="392"/>
      <c r="G125" s="392"/>
      <c r="H125" s="392"/>
      <c r="I125" s="392"/>
      <c r="J125" s="392"/>
      <c r="K125" s="392"/>
      <c r="L125" s="392"/>
      <c r="M125" s="392"/>
      <c r="N125" s="392"/>
    </row>
    <row r="126" spans="3:14" ht="14.25" hidden="1" customHeight="1" outlineLevel="1">
      <c r="C126" s="377"/>
      <c r="D126" s="8"/>
      <c r="E126" s="392"/>
      <c r="F126" s="392"/>
      <c r="G126" s="392"/>
      <c r="H126" s="392"/>
      <c r="I126" s="392"/>
      <c r="J126" s="392"/>
      <c r="K126" s="392"/>
      <c r="L126" s="392"/>
      <c r="M126" s="392"/>
      <c r="N126" s="392"/>
    </row>
    <row r="127" spans="3:14" ht="33.75" collapsed="1">
      <c r="C127" s="377">
        <v>6</v>
      </c>
      <c r="D127" s="378" t="s">
        <v>344</v>
      </c>
      <c r="E127" s="378"/>
      <c r="F127" s="378"/>
      <c r="G127" s="378"/>
      <c r="H127" s="378"/>
      <c r="I127" s="378"/>
      <c r="J127" s="378"/>
      <c r="K127" s="378"/>
      <c r="L127" s="378"/>
      <c r="M127" s="378"/>
      <c r="N127" s="378"/>
    </row>
    <row r="128" spans="3:14" ht="25.5" customHeight="1">
      <c r="C128" s="377"/>
      <c r="D128" s="6" t="s">
        <v>345</v>
      </c>
      <c r="E128" s="388">
        <f>E10</f>
        <v>0</v>
      </c>
      <c r="F128" s="389"/>
      <c r="G128" s="389"/>
      <c r="H128" s="389"/>
      <c r="I128" s="389"/>
      <c r="J128" s="389"/>
      <c r="K128" s="389"/>
      <c r="L128" s="389"/>
      <c r="M128" s="389"/>
      <c r="N128" s="390"/>
    </row>
    <row r="129" spans="3:14" ht="53.25" customHeight="1">
      <c r="C129" s="377"/>
      <c r="D129" s="6" t="s">
        <v>346</v>
      </c>
      <c r="E129" s="388">
        <f>E11</f>
        <v>0</v>
      </c>
      <c r="F129" s="389"/>
      <c r="G129" s="389"/>
      <c r="H129" s="389"/>
      <c r="I129" s="389"/>
      <c r="J129" s="389"/>
      <c r="K129" s="389"/>
      <c r="L129" s="389"/>
      <c r="M129" s="389"/>
      <c r="N129" s="390"/>
    </row>
    <row r="130" spans="3:14" ht="18" customHeight="1">
      <c r="C130" s="377"/>
      <c r="D130" s="382" t="s">
        <v>347</v>
      </c>
      <c r="E130" s="382"/>
      <c r="F130" s="382"/>
      <c r="G130" s="382"/>
      <c r="H130" s="382"/>
      <c r="I130" s="382"/>
      <c r="J130" s="382"/>
      <c r="K130" s="382"/>
      <c r="L130" s="382"/>
      <c r="M130" s="382"/>
      <c r="N130" s="382"/>
    </row>
    <row r="131" spans="3:14" ht="33.75" customHeight="1">
      <c r="C131" s="377"/>
      <c r="D131" s="8" t="s">
        <v>348</v>
      </c>
      <c r="E131" s="386" t="s">
        <v>349</v>
      </c>
      <c r="F131" s="386"/>
      <c r="G131" s="386"/>
      <c r="H131" s="386"/>
      <c r="I131" s="386"/>
      <c r="J131" s="386"/>
      <c r="K131" s="386"/>
      <c r="L131" s="386"/>
      <c r="M131" s="386"/>
      <c r="N131" s="386"/>
    </row>
    <row r="132" spans="3:14" ht="36.75" customHeight="1">
      <c r="C132" s="377"/>
      <c r="D132" s="8" t="s">
        <v>350</v>
      </c>
      <c r="E132" s="386" t="s">
        <v>351</v>
      </c>
      <c r="F132" s="386"/>
      <c r="G132" s="386"/>
      <c r="H132" s="386"/>
      <c r="I132" s="386"/>
      <c r="J132" s="386"/>
      <c r="K132" s="386"/>
      <c r="L132" s="386"/>
      <c r="M132" s="386"/>
      <c r="N132" s="386"/>
    </row>
    <row r="133" spans="3:14" ht="22.5" hidden="1" customHeight="1" outlineLevel="1">
      <c r="C133" s="377"/>
      <c r="D133" s="8" t="s">
        <v>352</v>
      </c>
      <c r="E133" s="386" t="s">
        <v>353</v>
      </c>
      <c r="F133" s="386"/>
      <c r="G133" s="386"/>
      <c r="H133" s="386"/>
      <c r="I133" s="386"/>
      <c r="J133" s="386"/>
      <c r="K133" s="386"/>
      <c r="L133" s="386"/>
      <c r="M133" s="386"/>
      <c r="N133" s="386"/>
    </row>
    <row r="134" spans="3:14" ht="15" hidden="1" customHeight="1" outlineLevel="1">
      <c r="C134" s="377"/>
      <c r="D134" s="8" t="s">
        <v>354</v>
      </c>
      <c r="E134" s="386" t="s">
        <v>353</v>
      </c>
      <c r="F134" s="386"/>
      <c r="G134" s="386"/>
      <c r="H134" s="386"/>
      <c r="I134" s="386"/>
      <c r="J134" s="386"/>
      <c r="K134" s="386"/>
      <c r="L134" s="386"/>
      <c r="M134" s="386"/>
      <c r="N134" s="386"/>
    </row>
    <row r="135" spans="3:14" ht="15" hidden="1" customHeight="1" outlineLevel="1">
      <c r="C135" s="377"/>
      <c r="D135" s="8" t="s">
        <v>156</v>
      </c>
      <c r="E135" s="386" t="s">
        <v>353</v>
      </c>
      <c r="F135" s="386"/>
      <c r="G135" s="386"/>
      <c r="H135" s="386"/>
      <c r="I135" s="386"/>
      <c r="J135" s="386"/>
      <c r="K135" s="386"/>
      <c r="L135" s="386"/>
      <c r="M135" s="386"/>
      <c r="N135" s="386"/>
    </row>
    <row r="136" spans="3:14" ht="15" hidden="1" customHeight="1" outlineLevel="1">
      <c r="C136" s="377"/>
      <c r="D136" s="8" t="s">
        <v>156</v>
      </c>
      <c r="E136" s="386" t="s">
        <v>353</v>
      </c>
      <c r="F136" s="386"/>
      <c r="G136" s="386"/>
      <c r="H136" s="386"/>
      <c r="I136" s="386"/>
      <c r="J136" s="386"/>
      <c r="K136" s="386"/>
      <c r="L136" s="386"/>
      <c r="M136" s="386"/>
      <c r="N136" s="386"/>
    </row>
    <row r="137" spans="3:14" ht="15" hidden="1" customHeight="1" outlineLevel="1">
      <c r="C137" s="377"/>
      <c r="D137" s="9" t="s">
        <v>157</v>
      </c>
      <c r="E137" s="386" t="s">
        <v>353</v>
      </c>
      <c r="F137" s="386"/>
      <c r="G137" s="386"/>
      <c r="H137" s="386"/>
      <c r="I137" s="386"/>
      <c r="J137" s="386"/>
      <c r="K137" s="386"/>
      <c r="L137" s="386"/>
      <c r="M137" s="386"/>
      <c r="N137" s="386"/>
    </row>
    <row r="138" spans="3:14" ht="15" hidden="1" customHeight="1" outlineLevel="1">
      <c r="C138" s="377"/>
      <c r="D138" s="9" t="s">
        <v>158</v>
      </c>
      <c r="E138" s="386" t="s">
        <v>353</v>
      </c>
      <c r="F138" s="386"/>
      <c r="G138" s="386"/>
      <c r="H138" s="386"/>
      <c r="I138" s="386"/>
      <c r="J138" s="386"/>
      <c r="K138" s="386"/>
      <c r="L138" s="386"/>
      <c r="M138" s="386"/>
      <c r="N138" s="386"/>
    </row>
    <row r="139" spans="3:14" ht="15" collapsed="1">
      <c r="C139" s="377"/>
      <c r="D139" s="32" t="s">
        <v>355</v>
      </c>
      <c r="E139" s="386" t="s">
        <v>353</v>
      </c>
      <c r="F139" s="386"/>
      <c r="G139" s="386"/>
      <c r="H139" s="386"/>
      <c r="I139" s="386"/>
      <c r="J139" s="386"/>
      <c r="K139" s="386"/>
      <c r="L139" s="386"/>
      <c r="M139" s="386"/>
      <c r="N139" s="386"/>
    </row>
    <row r="140" spans="3:14" ht="15" customHeight="1">
      <c r="C140" s="377"/>
      <c r="D140" s="32" t="s">
        <v>356</v>
      </c>
      <c r="E140" s="386" t="s">
        <v>357</v>
      </c>
      <c r="F140" s="386"/>
      <c r="G140" s="386"/>
      <c r="H140" s="386"/>
      <c r="I140" s="386"/>
      <c r="J140" s="386"/>
      <c r="K140" s="386"/>
      <c r="L140" s="386"/>
      <c r="M140" s="386"/>
      <c r="N140" s="386"/>
    </row>
    <row r="141" spans="3:14" ht="15" customHeight="1">
      <c r="C141" s="377"/>
      <c r="D141" s="32" t="s">
        <v>358</v>
      </c>
      <c r="E141" s="386" t="s">
        <v>359</v>
      </c>
      <c r="F141" s="386"/>
      <c r="G141" s="386"/>
      <c r="H141" s="386"/>
      <c r="I141" s="386"/>
      <c r="J141" s="386"/>
      <c r="K141" s="386"/>
      <c r="L141" s="386"/>
      <c r="M141" s="386"/>
      <c r="N141" s="386"/>
    </row>
    <row r="142" spans="3:14" ht="15" customHeight="1">
      <c r="C142" s="377"/>
      <c r="D142" s="32" t="s">
        <v>360</v>
      </c>
      <c r="E142" s="386" t="s">
        <v>353</v>
      </c>
      <c r="F142" s="386"/>
      <c r="G142" s="386"/>
      <c r="H142" s="386"/>
      <c r="I142" s="386"/>
      <c r="J142" s="386"/>
      <c r="K142" s="386"/>
      <c r="L142" s="386"/>
      <c r="M142" s="386"/>
      <c r="N142" s="386"/>
    </row>
    <row r="143" spans="3:14" ht="15" customHeight="1">
      <c r="C143" s="377"/>
      <c r="D143" s="32" t="s">
        <v>361</v>
      </c>
      <c r="E143" s="387">
        <f>SUM(E144:N147)</f>
        <v>6.6524999999999999</v>
      </c>
      <c r="F143" s="387"/>
      <c r="G143" s="387"/>
      <c r="H143" s="387"/>
      <c r="I143" s="387"/>
      <c r="J143" s="387"/>
      <c r="K143" s="387"/>
      <c r="L143" s="387"/>
      <c r="M143" s="387"/>
      <c r="N143" s="387"/>
    </row>
    <row r="144" spans="3:14" ht="15" customHeight="1">
      <c r="C144" s="377"/>
      <c r="D144" s="33" t="s">
        <v>362</v>
      </c>
      <c r="E144" s="386">
        <f>E112/10000</f>
        <v>3.5000000000000003E-2</v>
      </c>
      <c r="F144" s="386"/>
      <c r="G144" s="386"/>
      <c r="H144" s="386"/>
      <c r="I144" s="386"/>
      <c r="J144" s="386"/>
      <c r="K144" s="386"/>
      <c r="L144" s="386"/>
      <c r="M144" s="386"/>
      <c r="N144" s="386"/>
    </row>
    <row r="145" spans="3:14" ht="15" customHeight="1">
      <c r="C145" s="377"/>
      <c r="D145" s="33" t="s">
        <v>363</v>
      </c>
      <c r="E145" s="386">
        <f>E144/2</f>
        <v>1.7500000000000002E-2</v>
      </c>
      <c r="F145" s="386"/>
      <c r="G145" s="386"/>
      <c r="H145" s="386"/>
      <c r="I145" s="386"/>
      <c r="J145" s="386"/>
      <c r="K145" s="386"/>
      <c r="L145" s="386"/>
      <c r="M145" s="386"/>
      <c r="N145" s="386"/>
    </row>
    <row r="146" spans="3:14" ht="15" customHeight="1">
      <c r="C146" s="377"/>
      <c r="D146" s="33" t="s">
        <v>364</v>
      </c>
      <c r="E146" s="386">
        <v>6.6</v>
      </c>
      <c r="F146" s="386"/>
      <c r="G146" s="386"/>
      <c r="H146" s="386"/>
      <c r="I146" s="386"/>
      <c r="J146" s="386"/>
      <c r="K146" s="386"/>
      <c r="L146" s="386"/>
      <c r="M146" s="386"/>
      <c r="N146" s="386"/>
    </row>
    <row r="147" spans="3:14" ht="15" hidden="1" customHeight="1" outlineLevel="1">
      <c r="C147" s="377"/>
      <c r="D147" s="33" t="s">
        <v>365</v>
      </c>
      <c r="E147" s="387"/>
      <c r="F147" s="387"/>
      <c r="G147" s="387"/>
      <c r="H147" s="387"/>
      <c r="I147" s="387"/>
      <c r="J147" s="387"/>
      <c r="K147" s="387"/>
      <c r="L147" s="387"/>
      <c r="M147" s="387"/>
      <c r="N147" s="387"/>
    </row>
    <row r="148" spans="3:14" ht="18" customHeight="1" collapsed="1">
      <c r="C148" s="377"/>
      <c r="D148" s="32" t="s">
        <v>366</v>
      </c>
      <c r="E148" s="382">
        <f>E14</f>
        <v>0</v>
      </c>
      <c r="F148" s="382"/>
      <c r="G148" s="382"/>
      <c r="H148" s="382"/>
      <c r="I148" s="382"/>
      <c r="J148" s="382"/>
      <c r="K148" s="382"/>
      <c r="L148" s="382"/>
      <c r="M148" s="382"/>
      <c r="N148" s="382"/>
    </row>
    <row r="149" spans="3:14" ht="33.75" customHeight="1">
      <c r="C149" s="377">
        <v>7</v>
      </c>
      <c r="D149" s="378" t="s">
        <v>367</v>
      </c>
      <c r="E149" s="378"/>
      <c r="F149" s="378"/>
      <c r="G149" s="378"/>
      <c r="H149" s="378"/>
      <c r="I149" s="378"/>
      <c r="J149" s="378"/>
      <c r="K149" s="378"/>
      <c r="L149" s="378"/>
      <c r="M149" s="378"/>
      <c r="N149" s="378"/>
    </row>
    <row r="150" spans="3:14" s="34" customFormat="1" ht="18" customHeight="1" collapsed="1">
      <c r="C150" s="377"/>
      <c r="D150" s="11" t="s">
        <v>368</v>
      </c>
      <c r="E150" s="383">
        <f>'[38]Project Cost (2)'!F18</f>
        <v>457800.68571428576</v>
      </c>
      <c r="F150" s="383"/>
      <c r="G150" s="383"/>
      <c r="H150" s="383"/>
      <c r="I150" s="383"/>
      <c r="J150" s="383"/>
      <c r="K150" s="383"/>
      <c r="L150" s="383"/>
      <c r="M150" s="383"/>
      <c r="N150" s="383"/>
    </row>
    <row r="151" spans="3:14" s="34" customFormat="1" ht="57.75" customHeight="1">
      <c r="C151" s="377"/>
      <c r="D151" s="11" t="s">
        <v>369</v>
      </c>
      <c r="E151" s="35" t="s">
        <v>370</v>
      </c>
      <c r="F151" s="35" t="s">
        <v>371</v>
      </c>
      <c r="G151" s="35" t="s">
        <v>372</v>
      </c>
      <c r="H151" s="35" t="s">
        <v>373</v>
      </c>
      <c r="I151" s="384"/>
      <c r="J151" s="384"/>
      <c r="K151" s="35" t="s">
        <v>374</v>
      </c>
      <c r="L151" s="35" t="s">
        <v>375</v>
      </c>
      <c r="M151" s="35" t="s">
        <v>376</v>
      </c>
      <c r="N151" s="383"/>
    </row>
    <row r="152" spans="3:14" s="34" customFormat="1" ht="18" customHeight="1">
      <c r="C152" s="377"/>
      <c r="D152" s="36" t="s">
        <v>377</v>
      </c>
      <c r="E152" s="14">
        <f>'[38]Project Cost (2)'!D8</f>
        <v>5250</v>
      </c>
      <c r="F152" s="14">
        <f>'[38]Project Cost (2)'!E8</f>
        <v>0</v>
      </c>
      <c r="G152" s="14">
        <f>'[38]Project Cost (2)'!F8</f>
        <v>5250</v>
      </c>
      <c r="H152" s="37">
        <f>'[38]Project Cost (2)'!G8</f>
        <v>1.5888804596959034E-2</v>
      </c>
      <c r="I152" s="384"/>
      <c r="J152" s="384"/>
      <c r="K152" s="14">
        <f>'[38]Project Cost (2)'!J8+'[38]Project Cost (2)'!K8</f>
        <v>0</v>
      </c>
      <c r="L152" s="14">
        <f>'[38]Project Cost (2)'!L8</f>
        <v>5250</v>
      </c>
      <c r="M152" s="14">
        <f>'[38]Project Cost (2)'!M8</f>
        <v>0</v>
      </c>
      <c r="N152" s="383"/>
    </row>
    <row r="153" spans="3:14" s="34" customFormat="1" ht="30" customHeight="1">
      <c r="C153" s="377"/>
      <c r="D153" s="36" t="s">
        <v>378</v>
      </c>
      <c r="E153" s="14">
        <f>'[38]Project Cost (2)'!D9</f>
        <v>105000</v>
      </c>
      <c r="F153" s="14">
        <f>'[38]Project Cost (2)'!E9</f>
        <v>0</v>
      </c>
      <c r="G153" s="14">
        <f>'[38]Project Cost (2)'!F9</f>
        <v>105000</v>
      </c>
      <c r="H153" s="37">
        <f>'[38]Project Cost (2)'!G9</f>
        <v>0.31777609193918066</v>
      </c>
      <c r="I153" s="384"/>
      <c r="J153" s="384"/>
      <c r="K153" s="14">
        <f>'[38]Project Cost (2)'!J9+'[38]Project Cost (2)'!K9</f>
        <v>0</v>
      </c>
      <c r="L153" s="14">
        <f>'[38]Project Cost (2)'!L9</f>
        <v>105000</v>
      </c>
      <c r="M153" s="14">
        <f>'[38]Project Cost (2)'!M9</f>
        <v>0</v>
      </c>
      <c r="N153" s="383"/>
    </row>
    <row r="154" spans="3:14" s="34" customFormat="1" ht="30" customHeight="1">
      <c r="C154" s="377"/>
      <c r="D154" s="36" t="s">
        <v>379</v>
      </c>
      <c r="E154" s="14">
        <f>'[38]Project Cost (2)'!D10</f>
        <v>0</v>
      </c>
      <c r="F154" s="14">
        <f>'[38]Project Cost (2)'!E10</f>
        <v>191466.66666666669</v>
      </c>
      <c r="G154" s="14">
        <f>'[38]Project Cost (2)'!F10</f>
        <v>191466.66666666669</v>
      </c>
      <c r="H154" s="37">
        <f>'[38]Project Cost (2)'!G10</f>
        <v>0.57946218161862029</v>
      </c>
      <c r="I154" s="384"/>
      <c r="J154" s="384"/>
      <c r="K154" s="14">
        <f>'[38]Project Cost (2)'!J10+'[38]Project Cost (2)'!K10</f>
        <v>0</v>
      </c>
      <c r="L154" s="14">
        <f>'[38]Project Cost (2)'!L10</f>
        <v>0</v>
      </c>
      <c r="M154" s="14">
        <f>'[38]Project Cost (2)'!M10</f>
        <v>191466.66666666669</v>
      </c>
      <c r="N154" s="383"/>
    </row>
    <row r="155" spans="3:14" s="34" customFormat="1" ht="18" customHeight="1">
      <c r="C155" s="377"/>
      <c r="D155" s="36" t="s">
        <v>380</v>
      </c>
      <c r="E155" s="14">
        <f>'[38]Project Cost (2)'!D11</f>
        <v>9573.3333333333339</v>
      </c>
      <c r="F155" s="14">
        <f>'[38]Project Cost (2)'!E11</f>
        <v>0</v>
      </c>
      <c r="G155" s="14">
        <f>'[38]Project Cost (2)'!F11</f>
        <v>9573.3333333333339</v>
      </c>
      <c r="H155" s="37">
        <f>'[38]Project Cost (2)'!G11</f>
        <v>2.8973109080931012E-2</v>
      </c>
      <c r="I155" s="384"/>
      <c r="J155" s="384"/>
      <c r="K155" s="14">
        <f>'[38]Project Cost (2)'!J11+'[38]Project Cost (2)'!K11</f>
        <v>0</v>
      </c>
      <c r="L155" s="14">
        <f>'[38]Project Cost (2)'!L11</f>
        <v>9573.3333333333339</v>
      </c>
      <c r="M155" s="14">
        <f>'[38]Project Cost (2)'!M11</f>
        <v>0</v>
      </c>
      <c r="N155" s="383"/>
    </row>
    <row r="156" spans="3:14" s="34" customFormat="1" ht="30" customHeight="1">
      <c r="C156" s="377"/>
      <c r="D156" s="36" t="s">
        <v>381</v>
      </c>
      <c r="E156" s="14">
        <f>'[38]Project Cost (2)'!D12</f>
        <v>0</v>
      </c>
      <c r="F156" s="14">
        <f>'[38]Project Cost (2)'!E12</f>
        <v>13402.66666666667</v>
      </c>
      <c r="G156" s="14">
        <f>'[38]Project Cost (2)'!F12</f>
        <v>13402.66666666667</v>
      </c>
      <c r="H156" s="37">
        <f>'[38]Project Cost (2)'!G12</f>
        <v>4.0562352713303426E-2</v>
      </c>
      <c r="I156" s="384"/>
      <c r="J156" s="384"/>
      <c r="K156" s="14">
        <f>'[38]Project Cost (2)'!J12+'[38]Project Cost (2)'!K12</f>
        <v>0</v>
      </c>
      <c r="L156" s="14">
        <f>'[38]Project Cost (2)'!L12</f>
        <v>0</v>
      </c>
      <c r="M156" s="14">
        <f>'[38]Project Cost (2)'!M12</f>
        <v>13402.66666666667</v>
      </c>
      <c r="N156" s="383"/>
    </row>
    <row r="157" spans="3:14" s="34" customFormat="1" ht="18" customHeight="1">
      <c r="C157" s="377"/>
      <c r="D157" s="36" t="s">
        <v>382</v>
      </c>
      <c r="E157" s="14">
        <f>'[38]Project Cost (2)'!D13</f>
        <v>5728.666666666667</v>
      </c>
      <c r="F157" s="14">
        <f>'[38]Project Cost (2)'!E13</f>
        <v>0</v>
      </c>
      <c r="G157" s="14">
        <f>'[38]Project Cost (2)'!F13</f>
        <v>5728.666666666667</v>
      </c>
      <c r="H157" s="37">
        <f>'[38]Project Cost (2)'!G13</f>
        <v>1.7337460051005584E-2</v>
      </c>
      <c r="I157" s="384"/>
      <c r="J157" s="384"/>
      <c r="K157" s="14">
        <f>'[38]Project Cost (2)'!J13+'[38]Project Cost (2)'!K13</f>
        <v>0</v>
      </c>
      <c r="L157" s="14">
        <f>'[38]Project Cost (2)'!L13</f>
        <v>5728.666666666667</v>
      </c>
      <c r="M157" s="14">
        <f>'[38]Project Cost (2)'!M13</f>
        <v>0</v>
      </c>
      <c r="N157" s="383"/>
    </row>
    <row r="158" spans="3:14" s="34" customFormat="1" ht="18" customHeight="1">
      <c r="C158" s="377"/>
      <c r="D158" s="36" t="s">
        <v>383</v>
      </c>
      <c r="E158" s="14">
        <f>'[38]Project Cost (2)'!D14</f>
        <v>125552</v>
      </c>
      <c r="F158" s="14">
        <f>'[38]Project Cost (2)'!E14</f>
        <v>204869.33333333334</v>
      </c>
      <c r="G158" s="14">
        <f>'[38]Project Cost (2)'!F14</f>
        <v>330421.33333333337</v>
      </c>
      <c r="H158" s="37">
        <f>'[38]Project Cost (2)'!G14</f>
        <v>1</v>
      </c>
      <c r="I158" s="384"/>
      <c r="J158" s="384"/>
      <c r="K158" s="14">
        <f>'[38]Project Cost (2)'!J14+'[38]Project Cost (2)'!K14</f>
        <v>0</v>
      </c>
      <c r="L158" s="14">
        <f>'[38]Project Cost (2)'!L14</f>
        <v>125552</v>
      </c>
      <c r="M158" s="14">
        <f>'[38]Project Cost (2)'!M14</f>
        <v>204869.33333333334</v>
      </c>
      <c r="N158" s="383"/>
    </row>
    <row r="159" spans="3:14" s="34" customFormat="1" ht="18" customHeight="1">
      <c r="C159" s="377"/>
      <c r="D159" s="36" t="s">
        <v>384</v>
      </c>
      <c r="E159" s="37">
        <f>'[38]Project Cost (2)'!D15</f>
        <v>0.37997546566807627</v>
      </c>
      <c r="F159" s="37">
        <f>'[38]Project Cost (2)'!E15</f>
        <v>0.62002453433192362</v>
      </c>
      <c r="G159" s="37">
        <f>'[38]Project Cost (2)'!F15</f>
        <v>1</v>
      </c>
      <c r="H159" s="37">
        <f>'[38]Project Cost (2)'!G15</f>
        <v>0</v>
      </c>
      <c r="I159" s="384"/>
      <c r="J159" s="384"/>
      <c r="K159" s="14">
        <f>'[38]Project Cost (2)'!J15+'[38]Project Cost (2)'!K15</f>
        <v>0</v>
      </c>
      <c r="L159" s="14">
        <f>'[38]Project Cost (2)'!L15</f>
        <v>0.37997546566807627</v>
      </c>
      <c r="M159" s="14">
        <f>'[38]Project Cost (2)'!M15</f>
        <v>0.62002453433192362</v>
      </c>
      <c r="N159" s="383"/>
    </row>
    <row r="160" spans="3:14" s="34" customFormat="1" ht="30" customHeight="1">
      <c r="C160" s="377"/>
      <c r="D160" s="36" t="s">
        <v>385</v>
      </c>
      <c r="E160" s="14">
        <f>'[38]Project Cost (2)'!D16</f>
        <v>120770.92571428569</v>
      </c>
      <c r="F160" s="14">
        <f>'[38]Project Cost (2)'!E16</f>
        <v>0</v>
      </c>
      <c r="G160" s="14">
        <f>'[38]Project Cost (2)'!F16</f>
        <v>120770.92571428569</v>
      </c>
      <c r="H160" s="37">
        <f>'[38]Project Cost (2)'!G16</f>
        <v>0.26380678204064345</v>
      </c>
      <c r="I160" s="384"/>
      <c r="J160" s="384"/>
      <c r="K160" s="14">
        <f>'[38]Project Cost (2)'!J16+'[38]Project Cost (2)'!K16</f>
        <v>0</v>
      </c>
      <c r="L160" s="14">
        <f>'[38]Project Cost (2)'!L16</f>
        <v>120770.92571428569</v>
      </c>
      <c r="M160" s="14">
        <f>'[38]Project Cost (2)'!M16</f>
        <v>0</v>
      </c>
      <c r="N160" s="383"/>
    </row>
    <row r="161" spans="3:14" s="34" customFormat="1" ht="18" customHeight="1">
      <c r="C161" s="377"/>
      <c r="D161" s="36" t="s">
        <v>386</v>
      </c>
      <c r="E161" s="14">
        <f>'[38]Project Cost (2)'!D17</f>
        <v>2511.04</v>
      </c>
      <c r="F161" s="14">
        <f>'[38]Project Cost (2)'!E17</f>
        <v>4097.3866666666672</v>
      </c>
      <c r="G161" s="14">
        <f>'[38]Project Cost (2)'!F17</f>
        <v>6608.4266666666672</v>
      </c>
      <c r="H161" s="37">
        <f>'[38]Project Cost (2)'!G17</f>
        <v>1.443516113645797E-2</v>
      </c>
      <c r="I161" s="384"/>
      <c r="J161" s="384"/>
      <c r="K161" s="14">
        <f>'[38]Project Cost (2)'!J17+'[38]Project Cost (2)'!K17</f>
        <v>0</v>
      </c>
      <c r="L161" s="14">
        <f>'[38]Project Cost (2)'!L17</f>
        <v>2511.04</v>
      </c>
      <c r="M161" s="14">
        <f>'[38]Project Cost (2)'!M17</f>
        <v>4097.3866666666672</v>
      </c>
      <c r="N161" s="383"/>
    </row>
    <row r="162" spans="3:14" s="34" customFormat="1" ht="18" customHeight="1">
      <c r="C162" s="377"/>
      <c r="D162" s="36" t="s">
        <v>387</v>
      </c>
      <c r="E162" s="14">
        <f>'[38]Project Cost (2)'!D18</f>
        <v>248833.9657142857</v>
      </c>
      <c r="F162" s="14">
        <f>'[38]Project Cost (2)'!E18</f>
        <v>208966.72</v>
      </c>
      <c r="G162" s="14">
        <f>'[38]Project Cost (2)'!F18</f>
        <v>457800.68571428576</v>
      </c>
      <c r="H162" s="37">
        <f>'[38]Project Cost (2)'!G18</f>
        <v>1</v>
      </c>
      <c r="I162" s="384"/>
      <c r="J162" s="384"/>
      <c r="K162" s="14">
        <f>'[38]Project Cost (2)'!J18+'[38]Project Cost (2)'!K18</f>
        <v>0</v>
      </c>
      <c r="L162" s="14">
        <f>'[38]Project Cost (2)'!L18</f>
        <v>248833.9657142857</v>
      </c>
      <c r="M162" s="14">
        <f>'[38]Project Cost (2)'!M18</f>
        <v>208966.72</v>
      </c>
      <c r="N162" s="383"/>
    </row>
    <row r="163" spans="3:14" s="34" customFormat="1" ht="18" customHeight="1">
      <c r="C163" s="377"/>
      <c r="D163" s="36" t="s">
        <v>373</v>
      </c>
      <c r="E163" s="37">
        <f>'[38]Project Cost (2)'!D19</f>
        <v>0.54354214285642954</v>
      </c>
      <c r="F163" s="37">
        <f>'[38]Project Cost (2)'!E19</f>
        <v>0.45645785714357034</v>
      </c>
      <c r="G163" s="37">
        <f>'[38]Project Cost (2)'!F19</f>
        <v>1</v>
      </c>
      <c r="H163" s="37">
        <f>'[38]Project Cost (2)'!G19</f>
        <v>0</v>
      </c>
      <c r="I163" s="384"/>
      <c r="J163" s="384"/>
      <c r="K163" s="37">
        <f>'[38]Project Cost (2)'!J19+'[38]Project Cost (2)'!K19</f>
        <v>0</v>
      </c>
      <c r="L163" s="37">
        <f>'[38]Project Cost (2)'!L19</f>
        <v>0.54354214285642954</v>
      </c>
      <c r="M163" s="37">
        <f>'[38]Project Cost (2)'!M19</f>
        <v>0.45645785714357034</v>
      </c>
      <c r="N163" s="383"/>
    </row>
    <row r="164" spans="3:14" s="34" customFormat="1" ht="18" customHeight="1">
      <c r="C164" s="377"/>
      <c r="D164" s="9" t="s">
        <v>388</v>
      </c>
      <c r="E164" s="383">
        <f>'[38]Project Cost (2)'!L18+'[38]Project Cost (2)'!M18</f>
        <v>457800.6857142857</v>
      </c>
      <c r="F164" s="383"/>
      <c r="G164" s="383"/>
      <c r="H164" s="383"/>
      <c r="I164" s="383"/>
      <c r="J164" s="383"/>
      <c r="K164" s="383"/>
      <c r="L164" s="383"/>
      <c r="M164" s="383"/>
      <c r="N164" s="383"/>
    </row>
    <row r="165" spans="3:14" s="34" customFormat="1" ht="18" customHeight="1">
      <c r="C165" s="377"/>
      <c r="D165" s="36" t="s">
        <v>389</v>
      </c>
      <c r="E165" s="385">
        <f>'[38]Project Cost (2)'!L18</f>
        <v>248833.9657142857</v>
      </c>
      <c r="F165" s="385"/>
      <c r="G165" s="385"/>
      <c r="H165" s="385"/>
      <c r="I165" s="385"/>
      <c r="J165" s="385"/>
      <c r="K165" s="385"/>
      <c r="L165" s="385"/>
      <c r="M165" s="385"/>
      <c r="N165" s="385"/>
    </row>
    <row r="166" spans="3:14" s="34" customFormat="1" ht="18" customHeight="1">
      <c r="C166" s="377"/>
      <c r="D166" s="36" t="s">
        <v>390</v>
      </c>
      <c r="E166" s="385">
        <f>'[38]Project Cost (2)'!M18</f>
        <v>208966.72</v>
      </c>
      <c r="F166" s="385"/>
      <c r="G166" s="385"/>
      <c r="H166" s="385"/>
      <c r="I166" s="385"/>
      <c r="J166" s="385"/>
      <c r="K166" s="385"/>
      <c r="L166" s="385"/>
      <c r="M166" s="385"/>
      <c r="N166" s="385"/>
    </row>
    <row r="167" spans="3:14" s="34" customFormat="1" ht="18" customHeight="1">
      <c r="C167" s="377"/>
      <c r="D167" s="9" t="s">
        <v>391</v>
      </c>
      <c r="E167" s="375">
        <f>'[38]Project Cost (2)'!J18+'[38]Project Cost (2)'!K18</f>
        <v>0</v>
      </c>
      <c r="F167" s="375"/>
      <c r="G167" s="375"/>
      <c r="H167" s="375"/>
      <c r="I167" s="375"/>
      <c r="J167" s="375"/>
      <c r="K167" s="375"/>
      <c r="L167" s="375"/>
      <c r="M167" s="375"/>
      <c r="N167" s="375"/>
    </row>
    <row r="168" spans="3:14" s="34" customFormat="1" ht="27" customHeight="1">
      <c r="C168" s="377"/>
      <c r="D168" s="9" t="s">
        <v>392</v>
      </c>
      <c r="E168" s="375"/>
      <c r="F168" s="375"/>
      <c r="G168" s="375"/>
      <c r="H168" s="375"/>
      <c r="I168" s="375"/>
      <c r="J168" s="375"/>
      <c r="K168" s="375"/>
      <c r="L168" s="375"/>
      <c r="M168" s="375"/>
      <c r="N168" s="375"/>
    </row>
    <row r="169" spans="3:14" s="34" customFormat="1" ht="18" customHeight="1">
      <c r="C169" s="377"/>
      <c r="D169" s="36" t="s">
        <v>393</v>
      </c>
      <c r="E169" s="22" t="s">
        <v>394</v>
      </c>
      <c r="F169" s="22" t="s">
        <v>395</v>
      </c>
      <c r="G169" s="22" t="s">
        <v>396</v>
      </c>
      <c r="H169" s="22" t="s">
        <v>397</v>
      </c>
      <c r="I169" s="22" t="s">
        <v>398</v>
      </c>
      <c r="J169" s="22" t="s">
        <v>399</v>
      </c>
      <c r="K169" s="22" t="s">
        <v>400</v>
      </c>
      <c r="L169" s="22" t="s">
        <v>401</v>
      </c>
      <c r="M169" s="22" t="s">
        <v>402</v>
      </c>
      <c r="N169" s="22" t="s">
        <v>403</v>
      </c>
    </row>
    <row r="170" spans="3:14" s="34" customFormat="1" ht="15" customHeight="1">
      <c r="C170" s="377"/>
      <c r="D170" s="36" t="s">
        <v>404</v>
      </c>
      <c r="E170" s="38">
        <f>'[38]NPV-IRR-PI-DPP (2)'!E11</f>
        <v>0</v>
      </c>
      <c r="F170" s="38">
        <f>'[38]NPV-IRR-PI-DPP (2)'!E12</f>
        <v>699555.83999999997</v>
      </c>
      <c r="G170" s="38">
        <f>'[38]NPV-IRR-PI-DPP (2)'!E13</f>
        <v>749524.11428571434</v>
      </c>
      <c r="H170" s="38">
        <f>'[38]NPV-IRR-PI-DPP (2)'!E14</f>
        <v>799492.3885714286</v>
      </c>
      <c r="I170" s="38">
        <f>'[38]NPV-IRR-PI-DPP (2)'!E15</f>
        <v>849460.66285714298</v>
      </c>
      <c r="J170" s="38">
        <f>'[38]NPV-IRR-PI-DPP (2)'!E16</f>
        <v>899428.93714285723</v>
      </c>
      <c r="K170" s="38">
        <f>'[38]NPV-IRR-PI-DPP (2)'!E17</f>
        <v>899928.61988571426</v>
      </c>
      <c r="L170" s="38">
        <f>'[38]NPV-IRR-PI-DPP (2)'!E18</f>
        <v>900428.3026285714</v>
      </c>
      <c r="M170" s="38">
        <f>'[38]NPV-IRR-PI-DPP (2)'!E19</f>
        <v>900927.98537142843</v>
      </c>
      <c r="N170" s="38">
        <f>'[38]NPV-IRR-PI-DPP (2)'!E20</f>
        <v>901427.66811428557</v>
      </c>
    </row>
    <row r="171" spans="3:14" s="34" customFormat="1" ht="15" customHeight="1">
      <c r="C171" s="377"/>
      <c r="D171" s="36" t="s">
        <v>405</v>
      </c>
      <c r="E171" s="38">
        <f>E170-E172</f>
        <v>457800.6857142857</v>
      </c>
      <c r="F171" s="38">
        <f t="shared" ref="F171:N171" si="1">F170-F172</f>
        <v>548659.91603809525</v>
      </c>
      <c r="G171" s="38">
        <f t="shared" si="1"/>
        <v>582662.68403809529</v>
      </c>
      <c r="H171" s="38">
        <f t="shared" si="1"/>
        <v>616665.45203809533</v>
      </c>
      <c r="I171" s="38">
        <f t="shared" si="1"/>
        <v>650668.22003809537</v>
      </c>
      <c r="J171" s="38">
        <f t="shared" si="1"/>
        <v>684670.9880380953</v>
      </c>
      <c r="K171" s="38">
        <f t="shared" si="1"/>
        <v>688528.43438476184</v>
      </c>
      <c r="L171" s="38">
        <f t="shared" si="1"/>
        <v>688868.46206476178</v>
      </c>
      <c r="M171" s="38">
        <f t="shared" si="1"/>
        <v>721374.88974476175</v>
      </c>
      <c r="N171" s="38">
        <f t="shared" si="1"/>
        <v>721714.91742476181</v>
      </c>
    </row>
    <row r="172" spans="3:14" s="34" customFormat="1" ht="15" customHeight="1">
      <c r="C172" s="377"/>
      <c r="D172" s="36" t="s">
        <v>406</v>
      </c>
      <c r="E172" s="38">
        <f>'[38]NPV-IRR-PI-DPP (2)'!H11</f>
        <v>-457800.6857142857</v>
      </c>
      <c r="F172" s="38">
        <f>'[38]NPV-IRR-PI-DPP (2)'!H12</f>
        <v>150895.92396190474</v>
      </c>
      <c r="G172" s="38">
        <f>'[38]NPV-IRR-PI-DPP (2)'!H13</f>
        <v>166861.43024761908</v>
      </c>
      <c r="H172" s="38">
        <f>'[38]NPV-IRR-PI-DPP (2)'!H14</f>
        <v>182826.9365333333</v>
      </c>
      <c r="I172" s="38">
        <f>'[38]NPV-IRR-PI-DPP (2)'!H15</f>
        <v>198792.44281904763</v>
      </c>
      <c r="J172" s="38">
        <f>'[38]NPV-IRR-PI-DPP (2)'!H16</f>
        <v>214757.94910476197</v>
      </c>
      <c r="K172" s="38">
        <f>'[38]NPV-IRR-PI-DPP (2)'!H17</f>
        <v>211400.18550095239</v>
      </c>
      <c r="L172" s="38">
        <f>'[38]NPV-IRR-PI-DPP (2)'!H18</f>
        <v>211559.84056380959</v>
      </c>
      <c r="M172" s="38">
        <f>'[38]NPV-IRR-PI-DPP (2)'!H19</f>
        <v>179553.09562666668</v>
      </c>
      <c r="N172" s="38">
        <f>'[38]NPV-IRR-PI-DPP (2)'!H20</f>
        <v>179712.75068952376</v>
      </c>
    </row>
    <row r="173" spans="3:14" ht="18" customHeight="1">
      <c r="C173" s="377"/>
      <c r="D173" s="11" t="s">
        <v>220</v>
      </c>
      <c r="E173" s="379">
        <f>'[38]NPV-IRR-PI-DPP (2)'!P11*12</f>
        <v>37.414176522850724</v>
      </c>
      <c r="F173" s="379"/>
      <c r="G173" s="379"/>
      <c r="H173" s="379"/>
      <c r="I173" s="379"/>
      <c r="J173" s="379"/>
      <c r="K173" s="379"/>
      <c r="L173" s="379"/>
      <c r="M173" s="379"/>
      <c r="N173" s="379"/>
    </row>
    <row r="174" spans="3:14" ht="18" customHeight="1">
      <c r="C174" s="377"/>
      <c r="D174" s="11" t="s">
        <v>407</v>
      </c>
      <c r="E174" s="380">
        <f>'[38]NPV-IRR-PI-DPP (2)'!N20</f>
        <v>0.36432285730637504</v>
      </c>
      <c r="F174" s="380"/>
      <c r="G174" s="380"/>
      <c r="H174" s="380"/>
      <c r="I174" s="380"/>
      <c r="J174" s="380"/>
      <c r="K174" s="380"/>
      <c r="L174" s="380"/>
      <c r="M174" s="380"/>
      <c r="N174" s="380"/>
    </row>
    <row r="175" spans="3:14" ht="18" customHeight="1">
      <c r="C175" s="377"/>
      <c r="D175" s="11" t="s">
        <v>408</v>
      </c>
      <c r="E175" s="375">
        <f>'[38]NPV-IRR-PI-DPP (2)'!M20</f>
        <v>899849.04483956262</v>
      </c>
      <c r="F175" s="375"/>
      <c r="G175" s="375"/>
      <c r="H175" s="375"/>
      <c r="I175" s="375"/>
      <c r="J175" s="375"/>
      <c r="K175" s="375"/>
      <c r="L175" s="375"/>
      <c r="M175" s="375"/>
      <c r="N175" s="375"/>
    </row>
    <row r="176" spans="3:14" ht="18" customHeight="1">
      <c r="C176" s="377"/>
      <c r="D176" s="11" t="s">
        <v>409</v>
      </c>
      <c r="E176" s="381">
        <f>'[38]NPV-IRR-PI-DPP (2)'!O20</f>
        <v>2.9271297612447271</v>
      </c>
      <c r="F176" s="381"/>
      <c r="G176" s="382"/>
      <c r="H176" s="382"/>
      <c r="I176" s="382"/>
      <c r="J176" s="382"/>
      <c r="K176" s="382"/>
      <c r="L176" s="382"/>
      <c r="M176" s="382"/>
      <c r="N176" s="382"/>
    </row>
    <row r="177" spans="3:14" ht="18.75" customHeight="1">
      <c r="C177" s="377"/>
      <c r="D177" s="11" t="s">
        <v>410</v>
      </c>
      <c r="E177" s="379">
        <f>'[38]NPV-IRR-PI-DPP (2)'!D96+'[38]NPV-IRR-PI-DPP (2)'!D106</f>
        <v>11.7</v>
      </c>
      <c r="F177" s="379"/>
      <c r="G177" s="382"/>
      <c r="H177" s="382"/>
      <c r="I177" s="382"/>
      <c r="J177" s="382"/>
      <c r="K177" s="382"/>
      <c r="L177" s="382"/>
      <c r="M177" s="382"/>
      <c r="N177" s="382"/>
    </row>
    <row r="178" spans="3:14" ht="18" customHeight="1">
      <c r="C178" s="377"/>
      <c r="D178" s="11" t="s">
        <v>411</v>
      </c>
      <c r="E178" s="375">
        <f>E177/(E150/1000000)</f>
        <v>25.55697351511175</v>
      </c>
      <c r="F178" s="375"/>
      <c r="G178" s="375"/>
      <c r="H178" s="375"/>
      <c r="I178" s="375"/>
      <c r="J178" s="375"/>
      <c r="K178" s="375"/>
      <c r="L178" s="375"/>
      <c r="M178" s="375"/>
      <c r="N178" s="375"/>
    </row>
    <row r="179" spans="3:14" ht="45" customHeight="1">
      <c r="C179" s="377"/>
      <c r="D179" s="11" t="s">
        <v>412</v>
      </c>
      <c r="E179" s="376" t="str">
        <f>E54</f>
        <v>Preferences and benefits for manufacturers, including exemption from tax and customs payments for up to 10 years, depending on the volume of investments.</v>
      </c>
      <c r="F179" s="376"/>
      <c r="G179" s="376"/>
      <c r="H179" s="376"/>
      <c r="I179" s="376"/>
      <c r="J179" s="376"/>
      <c r="K179" s="376"/>
      <c r="L179" s="376"/>
      <c r="M179" s="376"/>
      <c r="N179" s="376"/>
    </row>
    <row r="180" spans="3:14" s="34" customFormat="1" ht="35.25" customHeight="1" collapsed="1">
      <c r="C180" s="377">
        <v>8</v>
      </c>
      <c r="D180" s="378" t="s">
        <v>413</v>
      </c>
      <c r="E180" s="378"/>
      <c r="F180" s="378"/>
      <c r="G180" s="378"/>
      <c r="H180" s="378"/>
      <c r="I180" s="378"/>
      <c r="J180" s="378"/>
      <c r="K180" s="378"/>
      <c r="L180" s="378"/>
      <c r="M180" s="378"/>
      <c r="N180" s="378"/>
    </row>
    <row r="181" spans="3:14" s="34" customFormat="1" ht="78.75" customHeight="1">
      <c r="C181" s="377"/>
      <c r="D181" s="9" t="s">
        <v>414</v>
      </c>
      <c r="E181" s="368" t="s">
        <v>622</v>
      </c>
      <c r="F181" s="368"/>
      <c r="G181" s="368"/>
      <c r="H181" s="368"/>
      <c r="I181" s="368"/>
      <c r="J181" s="368"/>
      <c r="K181" s="368"/>
      <c r="L181" s="368"/>
      <c r="M181" s="368"/>
      <c r="N181" s="368"/>
    </row>
    <row r="182" spans="3:14" s="34" customFormat="1" ht="40.5" customHeight="1">
      <c r="C182" s="377"/>
      <c r="D182" s="9" t="s">
        <v>415</v>
      </c>
      <c r="E182" s="368" t="s">
        <v>416</v>
      </c>
      <c r="F182" s="368"/>
      <c r="G182" s="368"/>
      <c r="H182" s="368"/>
      <c r="I182" s="368"/>
      <c r="J182" s="368"/>
      <c r="K182" s="368"/>
      <c r="L182" s="368"/>
      <c r="M182" s="368"/>
      <c r="N182" s="368"/>
    </row>
    <row r="183" spans="3:14" s="34" customFormat="1" ht="36.75" customHeight="1">
      <c r="C183" s="377"/>
      <c r="D183" s="9" t="s">
        <v>417</v>
      </c>
      <c r="E183" s="368" t="s">
        <v>418</v>
      </c>
      <c r="F183" s="368"/>
      <c r="G183" s="368"/>
      <c r="H183" s="368"/>
      <c r="I183" s="368"/>
      <c r="J183" s="368"/>
      <c r="K183" s="368"/>
      <c r="L183" s="368"/>
      <c r="M183" s="368"/>
      <c r="N183" s="368"/>
    </row>
    <row r="184" spans="3:14" s="34" customFormat="1" ht="47.25" customHeight="1">
      <c r="C184" s="377"/>
      <c r="D184" s="9" t="s">
        <v>419</v>
      </c>
      <c r="E184" s="368" t="s">
        <v>420</v>
      </c>
      <c r="F184" s="368"/>
      <c r="G184" s="368"/>
      <c r="H184" s="368"/>
      <c r="I184" s="368"/>
      <c r="J184" s="368"/>
      <c r="K184" s="368"/>
      <c r="L184" s="368"/>
      <c r="M184" s="368"/>
      <c r="N184" s="368"/>
    </row>
    <row r="185" spans="3:14" s="34" customFormat="1" ht="48.75" customHeight="1">
      <c r="C185" s="377"/>
      <c r="D185" s="9" t="s">
        <v>421</v>
      </c>
      <c r="E185" s="368" t="s">
        <v>422</v>
      </c>
      <c r="F185" s="368"/>
      <c r="G185" s="368"/>
      <c r="H185" s="368"/>
      <c r="I185" s="368"/>
      <c r="J185" s="368"/>
      <c r="K185" s="368"/>
      <c r="L185" s="368"/>
      <c r="M185" s="368"/>
      <c r="N185" s="368"/>
    </row>
    <row r="186" spans="3:14" s="34" customFormat="1" ht="39.75" customHeight="1">
      <c r="C186" s="377"/>
      <c r="D186" s="9"/>
      <c r="E186" s="368" t="s">
        <v>423</v>
      </c>
      <c r="F186" s="368"/>
      <c r="G186" s="368"/>
      <c r="H186" s="368"/>
      <c r="I186" s="368"/>
      <c r="J186" s="368"/>
      <c r="K186" s="368"/>
      <c r="L186" s="368"/>
      <c r="M186" s="368"/>
      <c r="N186" s="368"/>
    </row>
    <row r="187" spans="3:14" s="34" customFormat="1" ht="69.75" customHeight="1">
      <c r="C187" s="377"/>
      <c r="D187" s="9"/>
      <c r="E187" s="368" t="s">
        <v>424</v>
      </c>
      <c r="F187" s="368"/>
      <c r="G187" s="368"/>
      <c r="H187" s="368"/>
      <c r="I187" s="368"/>
      <c r="J187" s="368"/>
      <c r="K187" s="368"/>
      <c r="L187" s="368"/>
      <c r="M187" s="368"/>
      <c r="N187" s="368"/>
    </row>
    <row r="188" spans="3:14" ht="43.5" customHeight="1">
      <c r="C188" s="377"/>
      <c r="D188" s="11"/>
      <c r="E188" s="368" t="s">
        <v>425</v>
      </c>
      <c r="F188" s="368"/>
      <c r="G188" s="368"/>
      <c r="H188" s="368"/>
      <c r="I188" s="368"/>
      <c r="J188" s="368"/>
      <c r="K188" s="368"/>
      <c r="L188" s="368"/>
      <c r="M188" s="368"/>
      <c r="N188" s="368"/>
    </row>
    <row r="189" spans="3:14" ht="14.25" customHeight="1">
      <c r="C189" s="377"/>
      <c r="D189" s="369"/>
      <c r="E189" s="369"/>
      <c r="F189" s="369"/>
      <c r="G189" s="369"/>
      <c r="H189" s="369"/>
      <c r="I189" s="369"/>
      <c r="J189" s="369"/>
      <c r="K189" s="369"/>
      <c r="L189" s="369"/>
      <c r="M189" s="369"/>
      <c r="N189" s="369"/>
    </row>
    <row r="190" spans="3:14" ht="14.25" outlineLevel="1">
      <c r="C190" s="39"/>
      <c r="D190" s="370"/>
      <c r="E190" s="370"/>
      <c r="F190" s="370"/>
      <c r="G190" s="370"/>
      <c r="H190" s="370"/>
      <c r="I190" s="370"/>
      <c r="J190" s="370"/>
      <c r="K190" s="370"/>
      <c r="L190" s="370"/>
      <c r="M190" s="370"/>
      <c r="N190" s="371"/>
    </row>
    <row r="191" spans="3:14" ht="15" outlineLevel="1" thickBot="1">
      <c r="C191" s="40"/>
      <c r="D191" s="372"/>
      <c r="E191" s="372"/>
      <c r="F191" s="372"/>
      <c r="G191" s="372"/>
      <c r="H191" s="372"/>
      <c r="I191" s="372"/>
      <c r="J191" s="372"/>
      <c r="K191" s="372"/>
      <c r="L191" s="372"/>
      <c r="M191" s="372"/>
      <c r="N191" s="373"/>
    </row>
    <row r="192" spans="3:14" ht="15" thickTop="1">
      <c r="C192" s="41"/>
      <c r="D192" s="374"/>
      <c r="E192" s="374"/>
      <c r="F192" s="374"/>
      <c r="G192" s="374"/>
      <c r="H192" s="374"/>
      <c r="I192" s="374"/>
      <c r="J192" s="374"/>
      <c r="K192" s="374"/>
      <c r="L192" s="374"/>
      <c r="M192" s="374"/>
      <c r="N192" s="374"/>
    </row>
    <row r="204" spans="3:14" customFormat="1">
      <c r="C204" s="42"/>
    </row>
    <row r="205" spans="3:14" customFormat="1">
      <c r="C205" s="47" t="s">
        <v>426</v>
      </c>
      <c r="J205" s="48"/>
    </row>
    <row r="206" spans="3:14" customFormat="1" outlineLevel="1">
      <c r="C206" s="49" t="s">
        <v>427</v>
      </c>
      <c r="D206" s="50" t="s">
        <v>428</v>
      </c>
      <c r="E206" s="50" t="s">
        <v>429</v>
      </c>
      <c r="F206" s="51"/>
      <c r="J206" s="50"/>
      <c r="K206" s="50"/>
      <c r="L206" s="50"/>
      <c r="M206" s="50"/>
      <c r="N206" s="50"/>
    </row>
    <row r="207" spans="3:14" customFormat="1" ht="62.25" customHeight="1" outlineLevel="1">
      <c r="C207" s="49" t="s">
        <v>430</v>
      </c>
      <c r="D207" s="50" t="s">
        <v>431</v>
      </c>
      <c r="E207" s="50"/>
      <c r="F207" s="51"/>
      <c r="J207" s="50"/>
      <c r="K207" s="50"/>
      <c r="L207" s="50"/>
      <c r="M207" s="50"/>
      <c r="N207" s="50"/>
    </row>
    <row r="208" spans="3:14" customFormat="1" ht="60.75" customHeight="1" outlineLevel="1">
      <c r="C208" s="49" t="s">
        <v>432</v>
      </c>
      <c r="D208" s="50" t="s">
        <v>433</v>
      </c>
      <c r="E208" s="50"/>
      <c r="F208" s="51"/>
      <c r="J208" s="50"/>
      <c r="K208" s="50"/>
      <c r="L208" s="50"/>
      <c r="M208" s="50"/>
      <c r="N208" s="50"/>
    </row>
    <row r="209" spans="3:14" customFormat="1" ht="73.5" customHeight="1" outlineLevel="1">
      <c r="C209" s="49" t="s">
        <v>434</v>
      </c>
      <c r="D209" s="50" t="s">
        <v>435</v>
      </c>
      <c r="E209" s="50"/>
      <c r="F209" s="51"/>
      <c r="J209" s="50"/>
      <c r="K209" s="50"/>
      <c r="L209" s="50"/>
      <c r="M209" s="50"/>
      <c r="N209" s="50"/>
    </row>
    <row r="210" spans="3:14" customFormat="1" ht="56.25" customHeight="1" outlineLevel="1">
      <c r="C210" s="49" t="s">
        <v>436</v>
      </c>
      <c r="D210" s="50" t="s">
        <v>437</v>
      </c>
      <c r="E210" s="50"/>
      <c r="F210" s="51"/>
      <c r="J210" s="50"/>
      <c r="K210" s="50"/>
      <c r="L210" s="50"/>
      <c r="M210" s="50"/>
      <c r="N210" s="50"/>
    </row>
    <row r="211" spans="3:14" customFormat="1" ht="54" customHeight="1" outlineLevel="1">
      <c r="C211" s="49" t="s">
        <v>438</v>
      </c>
      <c r="D211" s="50" t="s">
        <v>439</v>
      </c>
      <c r="E211" s="50" t="s">
        <v>440</v>
      </c>
      <c r="F211" s="51"/>
      <c r="J211" s="50"/>
      <c r="K211" s="50"/>
      <c r="L211" s="50"/>
      <c r="M211" s="50"/>
      <c r="N211" s="50"/>
    </row>
    <row r="212" spans="3:14" customFormat="1">
      <c r="C212" s="42"/>
    </row>
    <row r="213" spans="3:14" customFormat="1">
      <c r="C213" s="42"/>
    </row>
    <row r="214" spans="3:14">
      <c r="C214" s="42"/>
      <c r="D214"/>
      <c r="E214"/>
      <c r="F214"/>
      <c r="G214"/>
    </row>
    <row r="215" spans="3:14">
      <c r="C215" s="47" t="s">
        <v>441</v>
      </c>
      <c r="D215"/>
      <c r="E215"/>
      <c r="F215"/>
      <c r="G215"/>
    </row>
    <row r="216" spans="3:14" outlineLevel="1">
      <c r="C216" s="49" t="s">
        <v>442</v>
      </c>
      <c r="D216" s="50" t="s">
        <v>428</v>
      </c>
      <c r="E216" s="50" t="s">
        <v>429</v>
      </c>
      <c r="F216" s="51"/>
      <c r="G216"/>
    </row>
    <row r="217" spans="3:14" ht="51" outlineLevel="1">
      <c r="C217" s="49" t="s">
        <v>443</v>
      </c>
      <c r="D217" s="50" t="s">
        <v>444</v>
      </c>
      <c r="E217" s="50"/>
      <c r="F217" s="51"/>
      <c r="G217"/>
    </row>
    <row r="218" spans="3:14" ht="51" outlineLevel="1">
      <c r="C218" s="49" t="s">
        <v>432</v>
      </c>
      <c r="D218" s="50" t="s">
        <v>445</v>
      </c>
      <c r="E218" s="50"/>
      <c r="F218" s="51"/>
      <c r="G218"/>
    </row>
    <row r="219" spans="3:14" ht="63.75" outlineLevel="1">
      <c r="C219" s="49" t="s">
        <v>434</v>
      </c>
      <c r="D219" s="50" t="s">
        <v>446</v>
      </c>
      <c r="E219" s="50"/>
      <c r="F219" s="51"/>
      <c r="G219"/>
    </row>
    <row r="220" spans="3:14" ht="51" outlineLevel="1">
      <c r="C220" s="49" t="s">
        <v>436</v>
      </c>
      <c r="D220" s="50" t="s">
        <v>447</v>
      </c>
      <c r="E220" s="50"/>
      <c r="F220" s="51"/>
      <c r="G220"/>
    </row>
    <row r="221" spans="3:14" ht="51" outlineLevel="1">
      <c r="C221" s="49" t="s">
        <v>448</v>
      </c>
      <c r="D221" s="50" t="s">
        <v>449</v>
      </c>
      <c r="E221" s="50"/>
      <c r="F221" s="51"/>
      <c r="G221"/>
    </row>
  </sheetData>
  <dataConsolidate link="1"/>
  <mergeCells count="173">
    <mergeCell ref="D2:N2"/>
    <mergeCell ref="D3:N3"/>
    <mergeCell ref="C4:C21"/>
    <mergeCell ref="D4:N4"/>
    <mergeCell ref="E5:N5"/>
    <mergeCell ref="E6:N6"/>
    <mergeCell ref="E7:N7"/>
    <mergeCell ref="E8:N8"/>
    <mergeCell ref="E9:N9"/>
    <mergeCell ref="E10:N10"/>
    <mergeCell ref="C22:C39"/>
    <mergeCell ref="D22:N22"/>
    <mergeCell ref="D23:N23"/>
    <mergeCell ref="E24:I24"/>
    <mergeCell ref="J24:N24"/>
    <mergeCell ref="E11:N11"/>
    <mergeCell ref="E12:N12"/>
    <mergeCell ref="E13:N13"/>
    <mergeCell ref="E14:N14"/>
    <mergeCell ref="E15:N15"/>
    <mergeCell ref="E16:N16"/>
    <mergeCell ref="E25:I25"/>
    <mergeCell ref="J25:N25"/>
    <mergeCell ref="D26:D28"/>
    <mergeCell ref="E26:N26"/>
    <mergeCell ref="E27:N28"/>
    <mergeCell ref="E29:N29"/>
    <mergeCell ref="E17:N17"/>
    <mergeCell ref="E18:N18"/>
    <mergeCell ref="E19:N19"/>
    <mergeCell ref="E20:N20"/>
    <mergeCell ref="E21:N21"/>
    <mergeCell ref="E36:I36"/>
    <mergeCell ref="J36:N36"/>
    <mergeCell ref="E37:I37"/>
    <mergeCell ref="J37:N37"/>
    <mergeCell ref="D38:D39"/>
    <mergeCell ref="E38:I38"/>
    <mergeCell ref="J38:N38"/>
    <mergeCell ref="E39:N39"/>
    <mergeCell ref="E30:N30"/>
    <mergeCell ref="E31:N31"/>
    <mergeCell ref="E32:H32"/>
    <mergeCell ref="J32:N32"/>
    <mergeCell ref="E33:N33"/>
    <mergeCell ref="E34:I34"/>
    <mergeCell ref="J34:N34"/>
    <mergeCell ref="E49:N49"/>
    <mergeCell ref="D50:N50"/>
    <mergeCell ref="E54:N54"/>
    <mergeCell ref="D55:N55"/>
    <mergeCell ref="E56:N56"/>
    <mergeCell ref="E64:J64"/>
    <mergeCell ref="C40:C92"/>
    <mergeCell ref="D40:N40"/>
    <mergeCell ref="D41:N41"/>
    <mergeCell ref="E42:N42"/>
    <mergeCell ref="E43:N43"/>
    <mergeCell ref="E44:N44"/>
    <mergeCell ref="E45:N45"/>
    <mergeCell ref="E46:N46"/>
    <mergeCell ref="E47:N47"/>
    <mergeCell ref="E48:N48"/>
    <mergeCell ref="E88:N88"/>
    <mergeCell ref="E89:N89"/>
    <mergeCell ref="E90:I90"/>
    <mergeCell ref="J90:N90"/>
    <mergeCell ref="E91:I91"/>
    <mergeCell ref="J91:N91"/>
    <mergeCell ref="D65:N65"/>
    <mergeCell ref="E77:N77"/>
    <mergeCell ref="E78:N78"/>
    <mergeCell ref="D79:N79"/>
    <mergeCell ref="E86:N86"/>
    <mergeCell ref="D87:N87"/>
    <mergeCell ref="I97:N97"/>
    <mergeCell ref="E98:H98"/>
    <mergeCell ref="I98:N98"/>
    <mergeCell ref="E99:H99"/>
    <mergeCell ref="I99:N99"/>
    <mergeCell ref="E100:H100"/>
    <mergeCell ref="I100:N100"/>
    <mergeCell ref="E92:I92"/>
    <mergeCell ref="J92:N92"/>
    <mergeCell ref="D93:N93"/>
    <mergeCell ref="E94:N94"/>
    <mergeCell ref="E95:H95"/>
    <mergeCell ref="I95:N95"/>
    <mergeCell ref="E96:H96"/>
    <mergeCell ref="I96:N96"/>
    <mergeCell ref="E97:H97"/>
    <mergeCell ref="E105:H105"/>
    <mergeCell ref="I105:N105"/>
    <mergeCell ref="E106:H106"/>
    <mergeCell ref="I106:N106"/>
    <mergeCell ref="D107:N107"/>
    <mergeCell ref="E108:H108"/>
    <mergeCell ref="I108:N108"/>
    <mergeCell ref="E101:H101"/>
    <mergeCell ref="I101:N101"/>
    <mergeCell ref="D102:D104"/>
    <mergeCell ref="E102:N102"/>
    <mergeCell ref="E103:H103"/>
    <mergeCell ref="J103:N103"/>
    <mergeCell ref="E104:H104"/>
    <mergeCell ref="J104:N104"/>
    <mergeCell ref="E134:N134"/>
    <mergeCell ref="E135:N135"/>
    <mergeCell ref="E114:N114"/>
    <mergeCell ref="C115:C126"/>
    <mergeCell ref="D115:N115"/>
    <mergeCell ref="E124:N124"/>
    <mergeCell ref="E125:N125"/>
    <mergeCell ref="E126:N126"/>
    <mergeCell ref="E109:H109"/>
    <mergeCell ref="I109:N109"/>
    <mergeCell ref="E110:N110"/>
    <mergeCell ref="E111:N111"/>
    <mergeCell ref="E112:N112"/>
    <mergeCell ref="E113:N113"/>
    <mergeCell ref="C93:C114"/>
    <mergeCell ref="E142:N142"/>
    <mergeCell ref="E143:N143"/>
    <mergeCell ref="E144:N144"/>
    <mergeCell ref="E145:N145"/>
    <mergeCell ref="E146:N146"/>
    <mergeCell ref="E147:N147"/>
    <mergeCell ref="E136:N136"/>
    <mergeCell ref="E137:N137"/>
    <mergeCell ref="E138:N138"/>
    <mergeCell ref="E139:N139"/>
    <mergeCell ref="E140:N140"/>
    <mergeCell ref="E141:N141"/>
    <mergeCell ref="E168:N168"/>
    <mergeCell ref="E173:N173"/>
    <mergeCell ref="E174:N174"/>
    <mergeCell ref="E175:N175"/>
    <mergeCell ref="E176:N176"/>
    <mergeCell ref="E177:N177"/>
    <mergeCell ref="E148:N148"/>
    <mergeCell ref="C149:C179"/>
    <mergeCell ref="D149:N149"/>
    <mergeCell ref="E150:N150"/>
    <mergeCell ref="I151:J163"/>
    <mergeCell ref="N151:N163"/>
    <mergeCell ref="E164:N164"/>
    <mergeCell ref="E165:N165"/>
    <mergeCell ref="E166:N166"/>
    <mergeCell ref="E167:N167"/>
    <mergeCell ref="C127:C148"/>
    <mergeCell ref="D127:N127"/>
    <mergeCell ref="E128:N128"/>
    <mergeCell ref="E129:N129"/>
    <mergeCell ref="D130:N130"/>
    <mergeCell ref="E131:N131"/>
    <mergeCell ref="E132:N132"/>
    <mergeCell ref="E133:N133"/>
    <mergeCell ref="E187:N187"/>
    <mergeCell ref="E188:N188"/>
    <mergeCell ref="D189:N189"/>
    <mergeCell ref="D190:N190"/>
    <mergeCell ref="D191:N191"/>
    <mergeCell ref="D192:N192"/>
    <mergeCell ref="E178:N178"/>
    <mergeCell ref="E179:N179"/>
    <mergeCell ref="C180:C189"/>
    <mergeCell ref="D180:N180"/>
    <mergeCell ref="E181:N181"/>
    <mergeCell ref="E182:N182"/>
    <mergeCell ref="E183:N183"/>
    <mergeCell ref="E184:N184"/>
    <mergeCell ref="E185:N185"/>
    <mergeCell ref="E186:N186"/>
  </mergeCells>
  <hyperlinks>
    <hyperlink ref="E99" r:id="rId1" display="https://alfaspk.ru" xr:uid="{1EE28772-9AF8-47A2-B2F8-E9F33515A611}"/>
    <hyperlink ref="I99" r:id="rId2" display="https://alfaspk.ru" xr:uid="{2D90C756-CD56-487C-90C5-BE9F4AEA2852}"/>
  </hyperlinks>
  <printOptions horizontalCentered="1"/>
  <pageMargins left="0.15748031496062992" right="0" top="0.19685039370078741" bottom="0" header="0" footer="3.937007874015748E-2"/>
  <pageSetup paperSize="9" scale="42" fitToHeight="3"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5</vt:i4>
      </vt:variant>
    </vt:vector>
  </HeadingPairs>
  <TitlesOfParts>
    <vt:vector size="9" baseType="lpstr">
      <vt:lpstr>ПаспортРУС</vt:lpstr>
      <vt:lpstr>ПаспортEng</vt:lpstr>
      <vt:lpstr>Форма-отчета 21</vt:lpstr>
      <vt:lpstr>БП-Eng</vt:lpstr>
      <vt:lpstr>а43</vt:lpstr>
      <vt:lpstr>'БП-Eng'!Область_печати</vt:lpstr>
      <vt:lpstr>ПаспортEng!Область_печати</vt:lpstr>
      <vt:lpstr>ПаспортРУС!Область_печати</vt:lpstr>
      <vt:lpstr>'Форма-отчета 21'!Область_печати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Nigmanov Zafar</dc:creator>
  <cp:lastModifiedBy>Nigmanov Zafar</cp:lastModifiedBy>
  <dcterms:created xsi:type="dcterms:W3CDTF">2021-02-03T06:03:36Z</dcterms:created>
  <dcterms:modified xsi:type="dcterms:W3CDTF">2021-03-26T05:36:48Z</dcterms:modified>
</cp:coreProperties>
</file>