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WORK\CRP\АПИИ\АПИИ янв-фев 2021\202-234 январь-февраль\1. Готовые\4-БП Соя Ф22\"/>
    </mc:Choice>
  </mc:AlternateContent>
  <xr:revisionPtr revIDLastSave="0" documentId="13_ncr:1_{E9CBA8E2-AD87-44D0-A964-ED9405D47194}" xr6:coauthVersionLast="44" xr6:coauthVersionMax="44" xr10:uidLastSave="{00000000-0000-0000-0000-000000000000}"/>
  <bookViews>
    <workbookView xWindow="-120" yWindow="-120" windowWidth="29040" windowHeight="15840" xr2:uid="{7A07F1CD-E81C-4B5A-B138-5A41A86F7A1D}"/>
  </bookViews>
  <sheets>
    <sheet name="ПаспортРУС" sheetId="1" r:id="rId1"/>
    <sheet name="ПаспортEng" sheetId="2" r:id="rId2"/>
    <sheet name="Форма-отчета 22" sheetId="3" r:id="rId3"/>
    <sheet name="БП-Eng"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 localSheetId="3">#REF!</definedName>
    <definedName name="\" localSheetId="2">#REF!</definedName>
    <definedName name="\">#REF!</definedName>
    <definedName name="\a">#N/A</definedName>
    <definedName name="\b">#N/A</definedName>
    <definedName name="\p">#N/A</definedName>
    <definedName name="\z">#N/A</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day3">#REF!</definedName>
    <definedName name="______day4">#REF!</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Per2">#N/A</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t1" localSheetId="3" hidden="1">{#N/A,#N/A,TRUE,"일정"}</definedName>
    <definedName name="______tt1" localSheetId="2" hidden="1">{#N/A,#N/A,TRUE,"일정"}</definedName>
    <definedName name="______tt1" hidden="1">{#N/A,#N/A,TRUE,"일정"}</definedName>
    <definedName name="______xlfn.BAHTTEXT" hidden="1">#NAME?</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0">#REF!</definedName>
    <definedName name="_____A65555">#REF!</definedName>
    <definedName name="_____A65655">#REF!</definedName>
    <definedName name="_____A65900">#REF!</definedName>
    <definedName name="_____A999999">#N/A</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C65537">#REF!</definedName>
    <definedName name="_____day3">#REF!</definedName>
    <definedName name="_____day4">#REF!</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Per2">#N/A</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t1" localSheetId="3" hidden="1">{#N/A,#N/A,TRUE,"일정"}</definedName>
    <definedName name="_____tt1" localSheetId="2" hidden="1">{#N/A,#N/A,TRUE,"일정"}</definedName>
    <definedName name="_____tt1" hidden="1">{#N/A,#N/A,TRUE,"일정"}</definedName>
    <definedName name="_____tt195">#REF!</definedName>
    <definedName name="_____xlfn.BAHTTEXT" hidden="1">#NAME?</definedName>
    <definedName name="_____xlfn.RTD" hidden="1">#NAME?</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0">#REF!</definedName>
    <definedName name="____A65555">#REF!</definedName>
    <definedName name="____A65655">#REF!</definedName>
    <definedName name="____A65900">#REF!</definedName>
    <definedName name="____A999999">#N/A</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C65537">#REF!</definedName>
    <definedName name="____CT5">#REF!</definedName>
    <definedName name="____day3">#REF!</definedName>
    <definedName name="____day4">#REF!</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FT1" localSheetId="3">#REF!,#REF!,#REF!,#REF!</definedName>
    <definedName name="____NFT1" localSheetId="2">#REF!,#REF!,#REF!,#REF!</definedName>
    <definedName name="____NFT1">#REF!,#REF!,#REF!,#REF!</definedName>
    <definedName name="____Per2">#N/A</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xlfn.BAHTTEXT" hidden="1">#NAME?</definedName>
    <definedName name="____xlfn.RTD" hidden="1">#NAME?</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0">#REF!</definedName>
    <definedName name="___A65555">#REF!</definedName>
    <definedName name="___A65655">#REF!</definedName>
    <definedName name="___A65900">#REF!</definedName>
    <definedName name="___A999999">#N/A</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C65537">#REF!</definedName>
    <definedName name="___CT5">#REF!</definedName>
    <definedName name="___day3">#REF!</definedName>
    <definedName name="___day4">#REF!</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NFT1" localSheetId="3">#REF!,#REF!,#REF!,#REF!</definedName>
    <definedName name="___NFT1" localSheetId="2">#REF!,#REF!,#REF!,#REF!</definedName>
    <definedName name="___NFT1">#REF!,#REF!,#REF!,#REF!</definedName>
    <definedName name="___Per2">#N/A</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xlfn.BAHTTEXT" hidden="1">#NAME?</definedName>
    <definedName name="___xlfn.RTD" hidden="1">#NAME?</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0">#REF!</definedName>
    <definedName name="__A65555">#REF!</definedName>
    <definedName name="__A65655">#REF!</definedName>
    <definedName name="__A65900">#REF!</definedName>
    <definedName name="__A999999">#N/A</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C65537">#REF!</definedName>
    <definedName name="__CT5">#REF!</definedName>
    <definedName name="__day3">#REF!</definedName>
    <definedName name="__day4">#REF!</definedName>
    <definedName name="__I______AU__E">#REF!</definedName>
    <definedName name="__IW1">'[1]Параметр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NFT1" localSheetId="3">#REF!,#REF!,#REF!,#REF!</definedName>
    <definedName name="__NFT1" localSheetId="2">#REF!,#REF!,#REF!,#REF!</definedName>
    <definedName name="__NFT1">#REF!,#REF!,#REF!,#REF!</definedName>
    <definedName name="__Per2">#N/A</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xlfn.BAHTTEXT" hidden="1">#NAME?</definedName>
    <definedName name="__xlfn.RTD" hidden="1">#NAME?</definedName>
    <definedName name="_07_2_7">#REF!</definedName>
    <definedName name="_08">#REF!</definedName>
    <definedName name="_088">#REF!</definedName>
    <definedName name="_1_0Print_Area">#REF!</definedName>
    <definedName name="_10_????">#REF!</definedName>
    <definedName name="_100_0누실적">#REF!</definedName>
    <definedName name="_100_0실적마">#REF!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11">#REF!</definedName>
    <definedName name="_136_0_0입">#REF!</definedName>
    <definedName name="_138_0_0차">#REF!</definedName>
    <definedName name="_144_0계기">#REF!</definedName>
    <definedName name="_146_0계기en">#REF!</definedName>
    <definedName name="_148_0누계기">#REF!</definedName>
    <definedName name="_150_0누계생">#REF!</definedName>
    <definedName name="_152_0누실마">#REF!</definedName>
    <definedName name="_154_0누실적">#REF!</definedName>
    <definedName name="_156_0실기버">#REF!</definedName>
    <definedName name="_158_0실적마">#REF!</definedName>
    <definedName name="_162ОБЛАСТЬ_ПЕЌАТ">#REF!</definedName>
    <definedName name="_183_0_0입">#REF!</definedName>
    <definedName name="_186_0_0차">#REF!</definedName>
    <definedName name="_195_0계기">#REF!</definedName>
    <definedName name="_198_0계기en">#REF!</definedName>
    <definedName name="_2_0Print_Area">#REF!</definedName>
    <definedName name="_2_0실마">#REF!</definedName>
    <definedName name="_20">#REF!</definedName>
    <definedName name="_201_0누계기">#REF!</definedName>
    <definedName name="_204_0누계생">#REF!</definedName>
    <definedName name="_207_0누실마">#REF!</definedName>
    <definedName name="_210_0누실적">#REF!</definedName>
    <definedName name="_213_0실기버">#REF!</definedName>
    <definedName name="_216_0실적마">#REF!</definedName>
    <definedName name="_222ОБЛАСТЬ_ПЕЌАТ">#REF!</definedName>
    <definedName name="_3_0Print_Area">#REF!</definedName>
    <definedName name="_3_0실마">#REF!</definedName>
    <definedName name="_3_0실적">#REF!</definedName>
    <definedName name="_30">#REF!</definedName>
    <definedName name="_4_????">#REF!</definedName>
    <definedName name="_4_0실마">#REF!</definedName>
    <definedName name="_4_0실적">#REF!</definedName>
    <definedName name="_40">#REF!</definedName>
    <definedName name="_440__0_S" localSheetId="3" hidden="1">#REF!</definedName>
    <definedName name="_440__0_S" localSheetId="2" hidden="1">#REF!</definedName>
    <definedName name="_440__0_S" hidden="1">#REF!</definedName>
    <definedName name="_5_????">#REF!</definedName>
    <definedName name="_6_0실마">#REF!</definedName>
    <definedName name="_6_0실적">#REF!</definedName>
    <definedName name="_7_????">#REF!</definedName>
    <definedName name="_89_0_0입">#REF!</definedName>
    <definedName name="_89185A78B00">#REF!</definedName>
    <definedName name="_9_0실적">#REF!</definedName>
    <definedName name="_90_0_0차">#REF!</definedName>
    <definedName name="_91_0_0입">#REF!</definedName>
    <definedName name="_92_0_0차">#REF!</definedName>
    <definedName name="_93_0계기">#REF!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[2]!_a1Z,[2]!_a2Z</definedName>
    <definedName name="_aZ" localSheetId="1">[2]!_a1Z,[2]!_a2Z</definedName>
    <definedName name="_aZ" localSheetId="2">[2]!_a1Z,[2]!_a2Z</definedName>
    <definedName name="_aZ">[2]!_a1Z,[2]!_a2Z</definedName>
    <definedName name="_B100000" localSheetId="3">#REF!</definedName>
    <definedName name="_B100000" localSheetId="2">#REF!</definedName>
    <definedName name="_B100000">#REF!</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65537" localSheetId="3">#REF!</definedName>
    <definedName name="_C65537" localSheetId="2">#REF!</definedName>
    <definedName name="_C65537">#REF!</definedName>
    <definedName name="_CT5">#REF!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ko15">#REF!</definedName>
    <definedName name="_KOR97">#REF!</definedName>
    <definedName name="_KOR98">#REF!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FT1" localSheetId="3">#REF!,#REF!,#REF!,#REF!</definedName>
    <definedName name="_NFT1" localSheetId="2">#REF!,#REF!,#REF!,#REF!</definedName>
    <definedName name="_NFT1">#REF!,#REF!,#REF!,#REF!</definedName>
    <definedName name="_Order1" hidden="1">255</definedName>
    <definedName name="_Order2" hidden="1">0</definedName>
    <definedName name="_Per2">#N/A</definedName>
    <definedName name="_Sort" localSheetId="3" hidden="1">#REF!</definedName>
    <definedName name="_Sort" localSheetId="2" hidden="1">#REF!</definedName>
    <definedName name="_Sort" hidden="1">#REF!</definedName>
    <definedName name="_SPO1">#N/A</definedName>
    <definedName name="_SPO2">#N/A</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00_08o">#REF!</definedName>
    <definedName name="a_101_08o">#REF!</definedName>
    <definedName name="a_102_08o">#REF!</definedName>
    <definedName name="a_110_08o">#REF!</definedName>
    <definedName name="a_111_08o">#REF!</definedName>
    <definedName name="a_112_08o">#REF!</definedName>
    <definedName name="a_120_08o">#REF!</definedName>
    <definedName name="a_121_08o">#REF!</definedName>
    <definedName name="a_122_08o">#REF!</definedName>
    <definedName name="a123456789">#REF!</definedName>
    <definedName name="a123457689">#REF!</definedName>
    <definedName name="A1ололо">#REF!</definedName>
    <definedName name="A6000000">#N/A</definedName>
    <definedName name="AA">#REF!</definedName>
    <definedName name="aaa">[3]Лист3!$A$2:$C$611</definedName>
    <definedName name="aaaa" localSheetId="3">#REF!</definedName>
    <definedName name="aaaa" localSheetId="2">#REF!</definedName>
    <definedName name="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s">#REF!</definedName>
    <definedName name="AB">#REF!</definedName>
    <definedName name="ABC">#REF!</definedName>
    <definedName name="AC">#REF!</definedName>
    <definedName name="ACC">#REF!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NT">#N/A</definedName>
    <definedName name="AcrilBox">#REF!</definedName>
    <definedName name="ad" localSheetId="3">{30,140,350,160,"",""}</definedName>
    <definedName name="ad" localSheetId="2">{30,140,350,160,"",""}</definedName>
    <definedName name="ad">{30,140,350,160,"",""}</definedName>
    <definedName name="AE">#REF!</definedName>
    <definedName name="AE1148677">'[4]Жиззах янги раз'!#REF!</definedName>
    <definedName name="AE1148678">'[5]Жиззах янги раз'!#REF!</definedName>
    <definedName name="af" localSheetId="3">{30,140,350,160,"",""}</definedName>
    <definedName name="af" localSheetId="2">{30,140,350,160,"",""}</definedName>
    <definedName name="af">{30,140,350,160,"",""}</definedName>
    <definedName name="ag">#REF!</definedName>
    <definedName name="ah" localSheetId="3">{30,140,350,160,"",""}</definedName>
    <definedName name="ah" localSheetId="2">{30,140,350,160,"",""}</definedName>
    <definedName name="ah">{30,140,350,160,"",""}</definedName>
    <definedName name="AI">#REF!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NO">#N/A</definedName>
    <definedName name="Akril">#REF!</definedName>
    <definedName name="AL">#REF!</definedName>
    <definedName name="ALL">#REF!</definedName>
    <definedName name="allll" localSheetId="3">TRUNC(([2]!oy-1)/3+1)</definedName>
    <definedName name="allll" localSheetId="2">TRUNC(([2]!oy-1)/3+1)</definedName>
    <definedName name="allll">TRUNC((oy-1)/3+1)</definedName>
    <definedName name="AM" localSheetId="3">#REF!</definedName>
    <definedName name="AM" localSheetId="2">#REF!</definedName>
    <definedName name="AM">#REF!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VodaBox">#REF!</definedName>
    <definedName name="AN">#REF!</definedName>
    <definedName name="and">#REF!</definedName>
    <definedName name="AO">#REF!</definedName>
    <definedName name="AP">#REF!</definedName>
    <definedName name="aq" localSheetId="3">{30,140,350,160,"",""}</definedName>
    <definedName name="aq" localSheetId="2">{30,140,350,160,"",""}</definedName>
    <definedName name="aq">{30,140,350,160,"",""}</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V">#REF!</definedName>
    <definedName name="AVFBox">#REF!</definedName>
    <definedName name="AW">#REF!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#REF!</definedName>
    <definedName name="B6999999">#N/A</definedName>
    <definedName name="BA">#REF!</definedName>
    <definedName name="BAC">#REF!</definedName>
    <definedName name="Baht">#REF!</definedName>
    <definedName name="Balans">[6]BAL!$A$1:$O$1858</definedName>
    <definedName name="Balans_9mesBox" localSheetId="3">#REF!</definedName>
    <definedName name="Balans_9mesBox" localSheetId="2">#REF!</definedName>
    <definedName name="Balans_9mesBox">#REF!</definedName>
    <definedName name="BB" localSheetId="3">#REF!</definedName>
    <definedName name="BB" localSheetId="2">#REF!</definedName>
    <definedName name="BB">#REF!</definedName>
    <definedName name="bbb" localSheetId="3">#REF!</definedName>
    <definedName name="bbb" localSheetId="2">#REF!</definedName>
    <definedName name="bbb">#REF!</definedName>
    <definedName name="BC">#REF!</definedName>
    <definedName name="BD">#REF!</definedName>
    <definedName name="BE">#REF!</definedName>
    <definedName name="BF">#REF!</definedName>
    <definedName name="BG">#REF!</definedName>
    <definedName name="BH">#REF!</definedName>
    <definedName name="BI">#REF!</definedName>
    <definedName name="BJ">#REF!</definedName>
    <definedName name="BK">#REF!</definedName>
    <definedName name="BL">#REF!</definedName>
    <definedName name="BLOCK">#REF!</definedName>
    <definedName name="BM">#REF!</definedName>
    <definedName name="bn" localSheetId="3">{30,140,350,160,"",""}</definedName>
    <definedName name="bn" localSheetId="2">{30,140,350,160,"",""}</definedName>
    <definedName name="bn">{30,140,350,160,"",""}</definedName>
    <definedName name="BO">#REF!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S" localSheetId="3">#REF!</definedName>
    <definedName name="BS" localSheetId="2">#REF!</definedName>
    <definedName name="BS">#REF!</definedName>
    <definedName name="BT">#REF!</definedName>
    <definedName name="BU">#REF!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A">#REF!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B">#REF!</definedName>
    <definedName name="cbvx">#REF!</definedName>
    <definedName name="CC">#REF!</definedName>
    <definedName name="ccc">#REF!</definedName>
    <definedName name="CD">#REF!</definedName>
    <definedName name="CE">#REF!</definedName>
    <definedName name="CF">#REF!</definedName>
    <definedName name="CG">#REF!</definedName>
    <definedName name="ch" localSheetId="3">TRUNC(([2]!oy-1)/3+1)</definedName>
    <definedName name="ch" localSheetId="2">TRUNC(([2]!oy-1)/3+1)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E">#REF!</definedName>
    <definedName name="COSTCNTR">#N/A</definedName>
    <definedName name="Criteria_MI">#REF!</definedName>
    <definedName name="Ctr1Box">#REF!</definedName>
    <definedName name="Ctr2Box">#REF!</definedName>
    <definedName name="curday">36934</definedName>
    <definedName name="CURR">#N/A</definedName>
    <definedName name="customs">#REF!</definedName>
    <definedName name="cvb" localSheetId="3">{30,140,350,160,"",""}</definedName>
    <definedName name="cvb" localSheetId="2">{30,140,350,160,"",""}</definedName>
    <definedName name="cvb">{30,140,350,160,"",""}</definedName>
    <definedName name="cy">2001</definedName>
    <definedName name="d">3</definedName>
    <definedName name="d_">#REF!</definedName>
    <definedName name="dac" localSheetId="3">[2]!_a1Z,[2]!_a2Z</definedName>
    <definedName name="dac" localSheetId="1">[2]!_a1Z,[2]!_a2Z</definedName>
    <definedName name="dac" localSheetId="2">[2]!_a1Z,[2]!_a2Z</definedName>
    <definedName name="dac">[2]!_a1Z,[2]!_a2Z</definedName>
    <definedName name="DAF" localSheetId="3">#REF!</definedName>
    <definedName name="DAF" localSheetId="2">#REF!</definedName>
    <definedName name="DAF">#REF!</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VDS">#REF!</definedName>
    <definedName name="DATA1">#N/A</definedName>
    <definedName name="DATA2">#N/A</definedName>
    <definedName name="DATA3">#REF!</definedName>
    <definedName name="DATA4">#REF!</definedName>
    <definedName name="Database_MI">#REF!</definedName>
    <definedName name="dataI">#N/A</definedName>
    <definedName name="DCID">#N/A</definedName>
    <definedName name="ddd">#REF!</definedName>
    <definedName name="ddddd">#REF!</definedName>
    <definedName name="dddddd" localSheetId="3">TRUNC(([2]!oy-1)/3+1)</definedName>
    <definedName name="dddddd" localSheetId="2">TRUNC(([2]!oy-1)/3+1)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SCRIP">#N/A</definedName>
    <definedName name="df" localSheetId="3">{30,140,350,160,"",""}</definedName>
    <definedName name="df" localSheetId="2">{30,140,350,160,"",""}</definedName>
    <definedName name="df">{30,140,350,160,"",""}</definedName>
    <definedName name="dfasd">#REF!</definedName>
    <definedName name="DFDSF">#REF!</definedName>
    <definedName name="dfg">#REF!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OCUNO">#N/A</definedName>
    <definedName name="Dollar" localSheetId="3">#REF!</definedName>
    <definedName name="Dollar" localSheetId="2">#REF!</definedName>
    <definedName name="Dollar">#REF!</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URO97">#REF!</definedName>
    <definedName name="EURO98">#REF!</definedName>
    <definedName name="ew" localSheetId="3">{30,140,350,160,"",""}</definedName>
    <definedName name="ew" localSheetId="2">{30,140,350,160,"",""}</definedName>
    <definedName name="ew">{30,140,350,160,"",""}</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HRATE">#N/A</definedName>
    <definedName name="EXP">#REF!</definedName>
    <definedName name="Extract_MI">#REF!</definedName>
    <definedName name="ey" localSheetId="3">{30,140,350,160,"",""}</definedName>
    <definedName name="ey" localSheetId="2">{30,140,350,160,"",""}</definedName>
    <definedName name="ey">{30,140,350,160,"",""}</definedName>
    <definedName name="F">#REF!</definedName>
    <definedName name="FaktBox">#REF!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fh">#REF!</definedName>
    <definedName name="FINDATE">#REF!</definedName>
    <definedName name="First_Year">#REF!</definedName>
    <definedName name="flk">#REF!</definedName>
    <definedName name="fr">#REF!</definedName>
    <definedName name="front_2" localSheetId="3" hidden="1">{#N/A,#N/A,FALSE,"BODY"}</definedName>
    <definedName name="front_2" localSheetId="2" hidden="1">{#N/A,#N/A,FALSE,"BODY"}</definedName>
    <definedName name="front_2" hidden="1">{#N/A,#N/A,FALSE,"BODY"}</definedName>
    <definedName name="FullDate">#N/A</definedName>
    <definedName name="G">#REF!</definedName>
    <definedName name="gf" localSheetId="3">{30,140,350,160,"",""}</definedName>
    <definedName name="gf" localSheetId="2">{30,140,350,160,"",""}</definedName>
    <definedName name="gf">{30,140,350,160,"",""}</definedName>
    <definedName name="GFAS">#N/A</definedName>
    <definedName name="gfgfgg" localSheetId="3">[2]!дел/1000</definedName>
    <definedName name="gfgfgg" localSheetId="1">[2]!дел/1000</definedName>
    <definedName name="gfgfgg" localSheetId="2">[2]!дел/1000</definedName>
    <definedName name="gfgfgg">[2]!дел/1000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#REF!</definedName>
    <definedName name="ghj">#REF!</definedName>
    <definedName name="ghjhb" localSheetId="3">[2]!дел/1000</definedName>
    <definedName name="ghjhb" localSheetId="1">[2]!дел/1000</definedName>
    <definedName name="ghjhb" localSheetId="2">[2]!дел/1000</definedName>
    <definedName name="ghjhb">[2]!дел/1000</definedName>
    <definedName name="GipoxloritBox" localSheetId="3">#REF!</definedName>
    <definedName name="GipoxloritBox" localSheetId="2">#REF!</definedName>
    <definedName name="GipoxloritBox">#REF!</definedName>
    <definedName name="GOVBox" localSheetId="3">#REF!</definedName>
    <definedName name="GOVBox" localSheetId="2">#REF!</definedName>
    <definedName name="GOVBox">#REF!</definedName>
    <definedName name="h" localSheetId="3">{30,140,350,160,"",""}</definedName>
    <definedName name="h" localSheetId="2">{30,140,350,160,"",""}</definedName>
    <definedName name="h">{30,140,350,160,"",""}</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h">#REF!</definedName>
    <definedName name="hhj">#REF!</definedName>
    <definedName name="hj">#REF!</definedName>
    <definedName name="hjilll" localSheetId="3">TRUNC(([2]!oy-1)/3+1)</definedName>
    <definedName name="hjilll" localSheetId="2">TRUNC(([2]!oy-1)/3+1)</definedName>
    <definedName name="hjilll">TRUNC(([2]!oy-1)/3+1)</definedName>
    <definedName name="hkj" localSheetId="3">#REF!</definedName>
    <definedName name="hkj" localSheetId="2">#REF!</definedName>
    <definedName name="hkj">#REF!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vv">#REF!</definedName>
    <definedName name="I" localSheetId="3">{30,140,350,160,"",""}</definedName>
    <definedName name="I" localSheetId="2">{30,140,350,160,"",""}</definedName>
    <definedName name="I">{30,140,350,160,"",""}</definedName>
    <definedName name="IDNO">#N/A</definedName>
    <definedName name="IMPORT">#REF!</definedName>
    <definedName name="INSERT">#REF!</definedName>
    <definedName name="INTINC">#N/A</definedName>
    <definedName name="INTRISSNO">#N/A</definedName>
    <definedName name="INTRRATE">#N/A</definedName>
    <definedName name="INVESTMENT" localSheetId="3">[2]!_a1Z,[2]!_a2Z</definedName>
    <definedName name="INVESTMENT" localSheetId="1">[2]!_a1Z,[2]!_a2Z</definedName>
    <definedName name="INVESTMENT" localSheetId="2">[2]!_a1Z,[2]!_a2Z</definedName>
    <definedName name="INVESTMENT">[2]!_a1Z,[2]!_a2Z</definedName>
    <definedName name="io" localSheetId="3">{30,140,350,160,"",""}</definedName>
    <definedName name="io" localSheetId="2">{30,140,350,160,"",""}</definedName>
    <definedName name="io">{30,140,350,160,"",""}</definedName>
    <definedName name="iu" localSheetId="3">{30,140,350,160,"",""}</definedName>
    <definedName name="iu" localSheetId="2">{30,140,350,160,"",""}</definedName>
    <definedName name="iu">{30,140,350,160,"",""}</definedName>
    <definedName name="IU_2">'[7]табли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hjkfhkj">#REF!</definedName>
    <definedName name="jjkjkjkjkj">#REF!</definedName>
    <definedName name="jkkn" localSheetId="3">{30,140,350,160,"",""}</definedName>
    <definedName name="jkkn" localSheetId="2">{30,140,350,160,"",""}</definedName>
    <definedName name="jkkn">{30,140,350,160,"",""}</definedName>
    <definedName name="jlk">#REF!</definedName>
    <definedName name="JOB">#REF!</definedName>
    <definedName name="K">#REF!</definedName>
    <definedName name="K4Box">#REF!</definedName>
    <definedName name="K9Box">#REF!</definedName>
    <definedName name="ka" localSheetId="3">TRUNC(([2]!oy-1)/3+1)</definedName>
    <definedName name="ka" localSheetId="2">TRUNC(([2]!oy-1)/3+1)</definedName>
    <definedName name="ka">TRUNC(([2]!oy-1)/3+1)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islAzot_SSBox">#REF!</definedName>
    <definedName name="KislAzot3Box">#REF!</definedName>
    <definedName name="KislAzotBox">#REF!</definedName>
    <definedName name="KislIng450Box">#REF!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ursovayaBox">#REF!</definedName>
    <definedName name="L">#N/A</definedName>
    <definedName name="L5A">#REF!</definedName>
    <definedName name="L5C">#REF!</definedName>
    <definedName name="L5CT">#REF!</definedName>
    <definedName name="L5H">#REF!</definedName>
    <definedName name="L5I">#REF!</definedName>
    <definedName name="L5N">#REF!</definedName>
    <definedName name="L5Q">#REF!</definedName>
    <definedName name="LANOS">#REF!</definedName>
    <definedName name="lastday">37165</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IM">#REF!</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ra" localSheetId="3">TRUNC(([2]!oy-1)/3+1)</definedName>
    <definedName name="lora" localSheetId="2">TRUNC(([2]!oy-1)/3+1)</definedName>
    <definedName name="lora">TRUNC((oy-1)/3+1)</definedName>
    <definedName name="lot" localSheetId="3">#REF!</definedName>
    <definedName name="lot" localSheetId="2">#REF!</definedName>
    <definedName name="lot">#REF!</definedName>
    <definedName name="LOTNO">#N/A</definedName>
    <definedName name="M" localSheetId="3">#REF!</definedName>
    <definedName name="M" localSheetId="2">#REF!</definedName>
    <definedName name="M">#REF!</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'[8]Зан-ть(р-ны)'!$5:$5</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m">#REF!</definedName>
    <definedName name="mn">"Август"</definedName>
    <definedName name="Money1">#REF!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n">#REF!</definedName>
    <definedName name="NNN">#REF!</definedName>
    <definedName name="nonbaht">#REF!</definedName>
    <definedName name="novtab">'[8]Зан-ть(р-ны)'!$5:$5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#REF!</definedName>
    <definedName name="obshiyT">#REF!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E_LINK1">#REF!</definedName>
    <definedName name="OLE_LINK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r82Box">#REF!</definedName>
    <definedName name="ParBox">#REF!</definedName>
    <definedName name="PARTNO">#N/A</definedName>
    <definedName name="pds">#REF!</definedName>
    <definedName name="Per_Nam">#N/A</definedName>
    <definedName name="Person">#N/A</definedName>
    <definedName name="perv">#REF!</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OTENO">#N/A</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p">#REF!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_MI" localSheetId="3">#REF!</definedName>
    <definedName name="Print_Area_MI" localSheetId="2">#REF!</definedName>
    <definedName name="Print_Area_MI">#REF!</definedName>
    <definedName name="Print_Titles_MI" localSheetId="3">#REF!</definedName>
    <definedName name="Print_Titles_MI" localSheetId="2">#REF!</definedName>
    <definedName name="Print_Titles_MI">#REF!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ocDiscount">[9]Store!$B$128</definedName>
    <definedName name="ProchieBox" localSheetId="3">#REF!</definedName>
    <definedName name="ProchieBox" localSheetId="2">#REF!</definedName>
    <definedName name="ProchieBox">#REF!</definedName>
    <definedName name="PROJNO">#N/A</definedName>
    <definedName name="PYear2">#N/A</definedName>
    <definedName name="q" localSheetId="3">{30,140,350,160,"",""}</definedName>
    <definedName name="q" localSheetId="2">{30,140,350,160,"",""}</definedName>
    <definedName name="q">{30,140,350,160,"",""}</definedName>
    <definedName name="qorq">#REF!</definedName>
    <definedName name="qqq">#REF!</definedName>
    <definedName name="qqqq">#REF!</definedName>
    <definedName name="qqqqqqqqqqq">#REF!</definedName>
    <definedName name="qqr">#REF!</definedName>
    <definedName name="QTY">#N/A</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ARK">#N/A</definedName>
    <definedName name="resp" localSheetId="3">DATE([2]!yil,[2]!oy,1)</definedName>
    <definedName name="resp" localSheetId="2">DATE([2]!yil,[2]!oy,1)</definedName>
    <definedName name="resp">DATE([2]!yil,[2]!oy,1)</definedName>
    <definedName name="respub" localSheetId="3">#REF!</definedName>
    <definedName name="respub" localSheetId="2">#REF!</definedName>
    <definedName name="respub">#REF!</definedName>
    <definedName name="Results" localSheetId="3">[10]Results!#REF!</definedName>
    <definedName name="Results" localSheetId="2">[10]Results!#REF!</definedName>
    <definedName name="Results">[10]Results!#REF!</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M">#REF!</definedName>
    <definedName name="RNCLTYPE">#N/A</definedName>
    <definedName name="RO">#REF!</definedName>
    <definedName name="RodAmBox">#REF!</definedName>
    <definedName name="rom">#N/A</definedName>
    <definedName name="ROW">#REF!</definedName>
    <definedName name="RP">#N/A</definedName>
    <definedName name="rrr">#REF!</definedName>
    <definedName name="RT">#REF!</definedName>
    <definedName name="rtew" localSheetId="3">{30,140,350,160,"",""}</definedName>
    <definedName name="rtew" localSheetId="2">{30,140,350,160,"",""}</definedName>
    <definedName name="rtew">{30,140,350,160,"",""}</definedName>
    <definedName name="Rw">#REF!</definedName>
    <definedName name="RY">#REF!</definedName>
    <definedName name="RZVD">#N/A</definedName>
    <definedName name="S">#REF!</definedName>
    <definedName name="sa" localSheetId="3">{30,140,350,160,"",""}</definedName>
    <definedName name="sa" localSheetId="2">{30,140,350,160,"",""}</definedName>
    <definedName name="sa">{30,140,350,160,"",""}</definedName>
    <definedName name="samarqa">#REF!</definedName>
    <definedName name="sana" localSheetId="3">DATE([2]!yil,[2]!oy,1)</definedName>
    <definedName name="sana" localSheetId="2">DATE([2]!yil,[2]!oy,1)</definedName>
    <definedName name="sana">DATE(yil,oy,1)</definedName>
    <definedName name="sd" localSheetId="3">{30,140,350,160,"",""}</definedName>
    <definedName name="sd" localSheetId="2">{30,140,350,160,"",""}</definedName>
    <definedName name="sd">{30,140,350,160,"",""}</definedName>
    <definedName name="sdfg">#REF!</definedName>
    <definedName name="sdfsdfsd" localSheetId="3">TRUNC(([2]!oy-1)/3+1)</definedName>
    <definedName name="sdfsdfsd" localSheetId="2">TRUNC(([2]!oy-1)/3+1)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itra_SSBox">#REF!</definedName>
    <definedName name="Selitra3Box">#REF!</definedName>
    <definedName name="SelitraBox">#REF!</definedName>
    <definedName name="SERNO">#N/A</definedName>
    <definedName name="SetBanks">#N/A</definedName>
    <definedName name="SetDay">#N/A</definedName>
    <definedName name="sf" localSheetId="3">{30,140,350,160,"",""}</definedName>
    <definedName name="sf" localSheetId="2">{30,140,350,160,"",""}</definedName>
    <definedName name="sf">{30,140,350,160,"",""}</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LRCPTNO">#N/A</definedName>
    <definedName name="SLSERNO">#N/A</definedName>
    <definedName name="SolyankaBox">#REF!</definedName>
    <definedName name="SolyankaKatBox">#REF!</definedName>
    <definedName name="sr">#REF!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tDate">#REF!</definedName>
    <definedName name="STDATE">#REF!</definedName>
    <definedName name="SulfatBox">#REF!</definedName>
    <definedName name="SUMMARY">#REF!</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VOD">#N/A</definedName>
    <definedName name="SxemBox">#REF!</definedName>
    <definedName name="SxemNitronBox">#REF!</definedName>
    <definedName name="t" localSheetId="3">{30,140,350,160,"",""}</definedName>
    <definedName name="t" localSheetId="2">{30,140,350,160,"",""}</definedName>
    <definedName name="t">{30,140,350,160,"",""}</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EMPQTY">#N/A</definedName>
    <definedName name="TEST">#REF!</definedName>
    <definedName name="test1">#REF!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iomochBox" localSheetId="3">#REF!</definedName>
    <definedName name="TiomochBox" localSheetId="2">#REF!</definedName>
    <definedName name="TiomochBox">#REF!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tal" localSheetId="3">[2]!дел/1000</definedName>
    <definedName name="total" localSheetId="1">[2]!дел/1000</definedName>
    <definedName name="total" localSheetId="2">[2]!дел/1000</definedName>
    <definedName name="total">[2]!дел/1000</definedName>
    <definedName name="tr" localSheetId="3">{30,140,350,160,"",""}</definedName>
    <definedName name="tr" localSheetId="2">{30,140,350,160,"",""}</definedName>
    <definedName name="tr">{30,140,350,160,"",""}</definedName>
    <definedName name="tre" localSheetId="3">{30,140,350,160,"",""}</definedName>
    <definedName name="tre" localSheetId="2">{30,140,350,160,"",""}</definedName>
    <definedName name="tre">{30,140,350,160,"",""}</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#REF!</definedName>
    <definedName name="ty" localSheetId="3">{30,140,350,160,"",""}</definedName>
    <definedName name="ty" localSheetId="2">{30,140,350,160,"",""}</definedName>
    <definedName name="ty">{30,140,350,160,"",""}</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u" localSheetId="3">{30,140,350,160,"",""}</definedName>
    <definedName name="u" localSheetId="2">{30,140,350,160,"",""}</definedName>
    <definedName name="u">{30,140,350,160,"",""}</definedName>
    <definedName name="UglekisBox">#REF!</definedName>
    <definedName name="uiy" localSheetId="3">{30,140,350,160,"",""}</definedName>
    <definedName name="uiy" localSheetId="2">{30,140,350,160,"",""}</definedName>
    <definedName name="uiy">{30,140,350,160,"",""}</definedName>
    <definedName name="Uksus70Box">#REF!</definedName>
    <definedName name="Uksus99Box">#REF!</definedName>
    <definedName name="UNIT">#N/A</definedName>
    <definedName name="UOM">#N/A</definedName>
    <definedName name="ure">#N/A</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v" localSheetId="3">{30,140,350,160,"",""}</definedName>
    <definedName name="v" localSheetId="2">{30,140,350,160,"",""}</definedName>
    <definedName name="v">{30,140,350,160,"",""}</definedName>
    <definedName name="VarABox">#REF!</definedName>
    <definedName name="VarBBox">#REF!</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a">#REF!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w">#REF!</definedName>
    <definedName name="WWWW" localSheetId="3" hidden="1">{#N/A,#N/A,TRUE,"일정"}</definedName>
    <definedName name="WWWW" localSheetId="2" hidden="1">{#N/A,#N/A,TRUE,"일정"}</definedName>
    <definedName name="WWWW" hidden="1">{#N/A,#N/A,TRUE,"일정"}</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x">#REF!</definedName>
    <definedName name="y" localSheetId="3">{30,140,350,160,"",""}</definedName>
    <definedName name="y" localSheetId="2">{30,140,350,160,"",""}</definedName>
    <definedName name="y">{30,140,350,160,"",""}</definedName>
    <definedName name="yil">#N/A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[11]оборот!$A:$B,[11]оборот!$1:$1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RATEINDC">#N/A</definedName>
    <definedName name="zx" localSheetId="3">{30,140,350,160,"",""}</definedName>
    <definedName name="zx" localSheetId="2">{30,140,350,160,"",""}</definedName>
    <definedName name="zx">{30,140,350,160,"",""}</definedName>
    <definedName name="zzz">#REF!</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'[12]Зан-ть(р-ны)'!$5:$5</definedName>
    <definedName name="ааа">'[13]Фориш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[14]База!$A$2:$A$16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DATE([2]!yil,[2]!oy,1)</definedName>
    <definedName name="акмал" localSheetId="2">DATE([2]!yil,[2]!oy,1)</definedName>
    <definedName name="акмал">DATE([2]!yil,[2]!oy,1)</definedName>
    <definedName name="акциз" localSheetId="3">#REF!</definedName>
    <definedName name="акциз" localSheetId="2">#REF!</definedName>
    <definedName name="акциз">#REF!</definedName>
    <definedName name="алан" localSheetId="3">прилож3/1000</definedName>
    <definedName name="алан" localSheetId="1">прилож3/1000</definedName>
    <definedName name="алан" localSheetId="2">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ударья">#REF!</definedName>
    <definedName name="ан" localSheetId="3">DATE([2]!yil,[2]!oy,1)</definedName>
    <definedName name="ан" localSheetId="2">DATE([2]!yil,[2]!oy,1)</definedName>
    <definedName name="ан">DATE([2]!yil,[2]!oy,1)</definedName>
    <definedName name="анвар" localSheetId="3">#REF!</definedName>
    <definedName name="анвар" localSheetId="2">#REF!</definedName>
    <definedName name="анвар">#REF!</definedName>
    <definedName name="Анд" localSheetId="3">TRUNC(([2]!oy-1)/3+1)</definedName>
    <definedName name="Анд" localSheetId="2">TRUNC(([2]!oy-1)/3+1)</definedName>
    <definedName name="Анд">TRUNC((oy-1)/3+1)</definedName>
    <definedName name="Анди" localSheetId="3">TRUNC(([2]!oy-1)/3+1)</definedName>
    <definedName name="Анди" localSheetId="2">TRUNC(([2]!oy-1)/3+1)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'[15]Ер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TRUNC(([2]!oy-1)/3+1)</definedName>
    <definedName name="Бух" localSheetId="2">TRUNC(([2]!oy-1)/3+1)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[2]!дел/1000</definedName>
    <definedName name="вавававвав" localSheetId="1">[2]!дел/1000</definedName>
    <definedName name="вавававвав" localSheetId="2">[2]!дел/1000</definedName>
    <definedName name="вавававвав">[2]!дел/1000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TRUNC(([2]!oy-1)/3+1)</definedName>
    <definedName name="вфыв" localSheetId="2">TRUNC(([2]!oy-1)/3+1)</definedName>
    <definedName name="вфыв">TRUNC(([2]!oy-1)/3+1)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[16]режа!$A$1:$R$862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'[17]Фориш 2003'!$O$4</definedName>
    <definedName name="галлаааа">'[18]Фориш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'[19]Зан-ть(р-ны)'!$5:$5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дд">#REF!</definedName>
    <definedName name="дддд" localSheetId="3">TRUNC(([2]!oy-1)/3+1)</definedName>
    <definedName name="дддд" localSheetId="2">TRUNC(([2]!oy-1)/3+1)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[20]c!$C$1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TRUNC(([2]!oy-1)/3+1)</definedName>
    <definedName name="ЁГ" localSheetId="2">TRUNC(([2]!oy-1)/3+1)</definedName>
    <definedName name="ЁГ">TRUNC(([2]!oy-1)/3+1)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[21]фев!#REF!</definedName>
    <definedName name="земельный" localSheetId="2" hidden="1">[21]фев!#REF!</definedName>
    <definedName name="земельный" hidden="1">[21]фев!#REF!</definedName>
    <definedName name="зж" localSheetId="3">{30,140,350,160,"",""}</definedName>
    <definedName name="зж" localSheetId="2">{30,140,350,160,"",""}</definedName>
    <definedName name="зж">{30,140,350,160,"",""}</definedName>
    <definedName name="зол">[22]Input3!$C$9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'[15]Ер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1">дел/1000</definedName>
    <definedName name="итог1" localSheetId="2">дел/1000</definedName>
    <definedName name="итог1">дел/1000</definedName>
    <definedName name="итог2" localSheetId="3">дел/1000</definedName>
    <definedName name="итог2" localSheetId="1">дел/1000</definedName>
    <definedName name="итог2" localSheetId="2">дел/1000</definedName>
    <definedName name="итог2">дел/1000</definedName>
    <definedName name="Итого" localSheetId="3">дел/1000</definedName>
    <definedName name="Итого" localSheetId="1">дел/1000</definedName>
    <definedName name="Итого" localSheetId="2">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TRUNC(([2]!oy-1)/3+1)</definedName>
    <definedName name="ййййййййййййййййййй" localSheetId="2">TRUNC(([2]!oy-1)/3+1)</definedName>
    <definedName name="ййййййййййййййййййй">TRUNC((oy-1)/3+1)</definedName>
    <definedName name="йййййййййййййййййййййййй" localSheetId="3">TRUNC(([2]!oy-1)/3+1)</definedName>
    <definedName name="йййййййййййййййййййййййй" localSheetId="2">TRUNC(([2]!oy-1)/3+1)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TRUNC(([2]!oy-1)/3+1)</definedName>
    <definedName name="Кашк" localSheetId="2">TRUNC(([2]!oy-1)/3+1)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'[19]Зан-ть(р-ны)'!$5:$5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DATE([2]!yil,[2]!oy,1)</definedName>
    <definedName name="книга10" localSheetId="2">DATE([2]!yil,[2]!oy,1)</definedName>
    <definedName name="книга10">DATE([2]!yil,[2]!oy,1)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DATE([2]!yil,[2]!oy,1)</definedName>
    <definedName name="кредит" localSheetId="2">DATE([2]!yil,[2]!oy,1)</definedName>
    <definedName name="кредит">DATE(yil,oy,1)</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'[23]Фориш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ўрсаткичлар">#N/A</definedName>
    <definedName name="кутча" localSheetId="3">{30,140,350,160,"",""}</definedName>
    <definedName name="кутча" localSheetId="2">{30,140,350,160,"",""}</definedName>
    <definedName name="кутча">{30,140,350,160,"",""}</definedName>
    <definedName name="куш">'[24]Зан-ть(р-ны)'!$5:$5</definedName>
    <definedName name="куш.жад" localSheetId="3">TRUNC(([2]!oy-1)/3+1)</definedName>
    <definedName name="куш.жад" localSheetId="2">TRUNC(([2]!oy-1)/3+1)</definedName>
    <definedName name="куш.жад">TRUNC(([2]!oy-1)/3+1)</definedName>
    <definedName name="кц" localSheetId="3">{30,140,350,160,"",""}</definedName>
    <definedName name="кц" localSheetId="2">{30,140,350,160,"",""}</definedName>
    <definedName name="кц">{30,140,350,160,"",""}</definedName>
    <definedName name="КЭ">#REF!</definedName>
    <definedName name="қвапп" localSheetId="3">DATE([2]!yil,[2]!oy,1)</definedName>
    <definedName name="қвапп" localSheetId="2">DATE([2]!yil,[2]!oy,1)</definedName>
    <definedName name="қвапп">DATE([2]!yil,[2]!oy,1)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TRUNC(([2]!oy-1)/3+1)</definedName>
    <definedName name="ликвид" localSheetId="2">TRUNC(([2]!oy-1)/3+1)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DATE([2]!yil,[2]!oy,1)</definedName>
    <definedName name="май" localSheetId="2">DATE([2]!yil,[2]!oy,1)</definedName>
    <definedName name="май">DATE([2]!yil,[2]!oy,1)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[25]s!$Q$124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[22]Input3!$C$7</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'[26]Фориш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[22]Input3!$C$8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[27]Нарх!$A$1:$P$248</definedName>
    <definedName name="нояб" localSheetId="3">#REF!</definedName>
    <definedName name="нояб" localSheetId="2">#REF!</definedName>
    <definedName name="нояб">#REF!</definedName>
    <definedName name="нргшщ">#N/A</definedName>
    <definedName name="нук" localSheetId="3">TRUNC(([2]!oy-1)/3+1)</definedName>
    <definedName name="нук" localSheetId="2">TRUNC(([2]!oy-1)/3+1)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3">'БП-Eng'!$C$2:$N$222</definedName>
    <definedName name="_xlnm.Print_Area" localSheetId="1">ПаспортEng!$M$3:$W$48</definedName>
    <definedName name="_xlnm.Print_Area" localSheetId="0">ПаспортРУС!$Y$3:$AI$48</definedName>
    <definedName name="_xlnm.Print_Area" localSheetId="2">'Форма-отчета 22'!$C$2:$N$222</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_внутр">#REF!</definedName>
    <definedName name="Объем_эксп">#REF!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'[28]Гай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'[28]Гай пахта'!#REF!</definedName>
    <definedName name="олполднгл">#N/A</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TRUNC(([2]!oy-1)/3+1)</definedName>
    <definedName name="оооо" localSheetId="2">TRUNC(([2]!oy-1)/3+1)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[2]!_a1Z,[2]!_a2Z</definedName>
    <definedName name="отработано" localSheetId="1">[2]!_a1Z,[2]!_a2Z</definedName>
    <definedName name="отработано" localSheetId="2">[2]!_a1Z,[2]!_a2Z</definedName>
    <definedName name="отработано">[2]!_a1Z,[2]!_a2Z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1">прилож3/1000</definedName>
    <definedName name="пппппп" localSheetId="2">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'[29]Зан-ть(р-ны)'!$5:$5</definedName>
    <definedName name="Прил3" localSheetId="3">[2]!прилож3/1000</definedName>
    <definedName name="Прил3" localSheetId="1">[2]!прилож3/1000</definedName>
    <definedName name="Прил3" localSheetId="2">[2]!прилож3/1000</definedName>
    <definedName name="Прил3">[2]!прилож3/1000</definedName>
    <definedName name="Прил5" localSheetId="3">дел/1000</definedName>
    <definedName name="Прил5" localSheetId="1">дел/1000</definedName>
    <definedName name="Прил5" localSheetId="2">дел/1000</definedName>
    <definedName name="Прил5">дел/1000</definedName>
    <definedName name="приложение" localSheetId="3">дел/1000</definedName>
    <definedName name="приложение" localSheetId="1">дел/1000</definedName>
    <definedName name="приложение" localSheetId="2">дел/1000</definedName>
    <definedName name="приложение">дел/1000</definedName>
    <definedName name="ПРИХ">35000</definedName>
    <definedName name="прлордлюдл">#N/A</definedName>
    <definedName name="про" localSheetId="3">'[30]уюшмага10,09 холатига'!#REF!</definedName>
    <definedName name="про" localSheetId="2">'[30]уюшмага10,09 холатига'!#REF!</definedName>
    <definedName name="про">'[30]уюшмага10,09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TRUNC(([2]!oy-1)/3+1)</definedName>
    <definedName name="Прог" localSheetId="2">TRUNC(([2]!oy-1)/3+1)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TRUNC(([2]!oy-1)/3+1)</definedName>
    <definedName name="программа" localSheetId="2">TRUNC(([2]!oy-1)/3+1)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DATE([2]!yil,[2]!oy,1)</definedName>
    <definedName name="прокуратура" localSheetId="2">DATE([2]!yil,[2]!oy,1)</definedName>
    <definedName name="прокуратура">DATE([2]!yil,[2]!oy,1)</definedName>
    <definedName name="пром2">#N/A</definedName>
    <definedName name="прост" localSheetId="3">#REF!</definedName>
    <definedName name="прост" localSheetId="2">#REF!</definedName>
    <definedName name="прост">#REF!</definedName>
    <definedName name="проч" localSheetId="3">TRUNC(([2]!oy-1)/3+1)</definedName>
    <definedName name="проч" localSheetId="2">TRUNC(([2]!oy-1)/3+1)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[27]Пункт!$A$1:$B$9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[31]данные!$A$1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1">дел/1000</definedName>
    <definedName name="расчет" localSheetId="2">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[32]База!$E$2:$E$5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TRUNC(([2]!oy-1)/3+1)</definedName>
    <definedName name="рес" localSheetId="2">TRUNC(([2]!oy-1)/3+1)</definedName>
    <definedName name="рес">TRUNC((oy-1)/3+1)</definedName>
    <definedName name="респ" localSheetId="3">TRUNC(([2]!oy-1)/3+1)</definedName>
    <definedName name="респ" localSheetId="2">TRUNC(([2]!oy-1)/3+1)</definedName>
    <definedName name="респ">TRUNC((oy-1)/3+1)</definedName>
    <definedName name="ретцептура1">[33]Input3!$C$9</definedName>
    <definedName name="рл">#N/A</definedName>
    <definedName name="рлжлджролд">#N/A</definedName>
    <definedName name="рлр" localSheetId="3">TRUNC(([2]!oy-1)/3+1)</definedName>
    <definedName name="рлр" localSheetId="2">TRUNC(([2]!oy-1)/3+1)</definedName>
    <definedName name="рлр">TRUNC((oy-1)/3+1)</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TRUNC(([2]!oy-1)/3+1)</definedName>
    <definedName name="роопропроп" localSheetId="2">TRUNC(([2]!oy-1)/3+1)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DATE([2]!yil,[2]!oy,1)</definedName>
    <definedName name="роророрпорпо" localSheetId="2">DATE([2]!yil,[2]!oy,1)</definedName>
    <definedName name="роророрпорпо">DATE([2]!yil,[2]!oy,1)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[2]!дел/1000</definedName>
    <definedName name="рррррр" localSheetId="1">[2]!дел/1000</definedName>
    <definedName name="рррррр" localSheetId="2">[2]!дел/1000</definedName>
    <definedName name="рррррр">[2]!дел/1000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1">прилож3/1000</definedName>
    <definedName name="ррррррррррр" localSheetId="2">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1">дел/1000</definedName>
    <definedName name="рфььук" localSheetId="2">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'[8]Зан-ть(р-ны)'!$5:$5</definedName>
    <definedName name="рынок">'[34]Зан-ть(р-ны)'!$5:$5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1">дел/1000</definedName>
    <definedName name="свод_кор" localSheetId="2">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[33]Input3!$C$15</definedName>
    <definedName name="Сирдарё">#REF!</definedName>
    <definedName name="Скважин">#REF!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TRUNC(([2]!oy-1)/3+1)</definedName>
    <definedName name="Сфакторы" localSheetId="2">TRUNC(([2]!oy-1)/3+1)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TRUNC(([2]!oy-1)/3+1)</definedName>
    <definedName name="т" localSheetId="2">TRUNC(([2]!oy-1)/3+1)</definedName>
    <definedName name="т">TRUNC(([2]!oy-1)/3+1)</definedName>
    <definedName name="таксимот" localSheetId="3">#REF!</definedName>
    <definedName name="таксимот" localSheetId="2">#REF!</definedName>
    <definedName name="таксимот">#REF!</definedName>
    <definedName name="талаб" localSheetId="3">TRUNC(([2]!oy-1)/3+1)</definedName>
    <definedName name="талаб" localSheetId="2">TRUNC(([2]!oy-1)/3+1)</definedName>
    <definedName name="талаб">TRUNC(([2]!oy-1)/3+1)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[35]ном!#REF!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[10]Results!#REF!</definedName>
    <definedName name="тт" localSheetId="2">[10]Results!#REF!</definedName>
    <definedName name="тт">[10]Results!#REF!</definedName>
    <definedName name="ттт" localSheetId="3">#REF!</definedName>
    <definedName name="ттт" localSheetId="2">#REF!</definedName>
    <definedName name="ттт">#REF!</definedName>
    <definedName name="тттт" localSheetId="3">[2]!дел/1000</definedName>
    <definedName name="тттт" localSheetId="1">[2]!дел/1000</definedName>
    <definedName name="тттт" localSheetId="2">[2]!дел/1000</definedName>
    <definedName name="тттт">[2]!дел/1000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'[36]Зан-ть(р-ны)'!$5:$5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[2]!дел/1000</definedName>
    <definedName name="ууууу" localSheetId="1">[2]!дел/1000</definedName>
    <definedName name="ууууу" localSheetId="2">[2]!дел/1000</definedName>
    <definedName name="ууууу">[2]!дел/1000</definedName>
    <definedName name="уууууууууууууууууу" localSheetId="3">DATE([2]!yil,[2]!oy,1)</definedName>
    <definedName name="уууууууууууууууууу" localSheetId="2">DATE([2]!yil,[2]!oy,1)</definedName>
    <definedName name="уууууууууууууууууу">DATE(yil,oy,1)</definedName>
    <definedName name="уууууууууууууууууууу" localSheetId="3">TRUNC(([2]!oy-1)/3+1)</definedName>
    <definedName name="уууууууууууууууууууу" localSheetId="2">TRUNC(([2]!oy-1)/3+1)</definedName>
    <definedName name="уууууууууууууууууууу">TRUNC((oy-1)/3+1)</definedName>
    <definedName name="ууууууууууууууууууууу" localSheetId="3">TRUNC(([2]!oy-1)/3+1)</definedName>
    <definedName name="ууууууууууууууууууууу" localSheetId="2">TRUNC(([2]!oy-1)/3+1)</definedName>
    <definedName name="ууууууууууууууууууууу">TRUNC((oy-1)/3+1)</definedName>
    <definedName name="ууууууууууууууууууууууу" localSheetId="3">TRUNC(([2]!oy-1)/3+1)</definedName>
    <definedName name="ууууууууууууууууууууууу" localSheetId="2">TRUNC(([2]!oy-1)/3+1)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TRUNC(([2]!oy-1)/3+1)</definedName>
    <definedName name="Факторы" localSheetId="2">TRUNC(([2]!oy-1)/3+1)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TRUNC(([2]!oy-1)/3+1)</definedName>
    <definedName name="февраль_фактор" localSheetId="2">TRUNC(([2]!oy-1)/3+1)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'[37]Фориш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TRUNC(([2]!oy-1)/3+1)</definedName>
    <definedName name="фыы" localSheetId="2">TRUNC(([2]!oy-1)/3+1)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[14]База!$C$2:$C$15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коытого">#REF!</definedName>
    <definedName name="ЦенаЗакрытого">#REF!</definedName>
    <definedName name="центр">#REF!</definedName>
    <definedName name="центр1">#REF!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TRUNC(([2]!oy-1)/3+1)</definedName>
    <definedName name="ыпыв" localSheetId="2">TRUNC(([2]!oy-1)/3+1)</definedName>
    <definedName name="ыпыв">TRUNC(([2]!oy-1)/3+1)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TRUNC(([2]!oy-1)/3+1)</definedName>
    <definedName name="ыцйц" localSheetId="2">TRUNC(([2]!oy-1)/3+1)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TRUNC(([2]!oy-1)/3+1)</definedName>
    <definedName name="ыыыыыыыыыы" localSheetId="2">TRUNC(([2]!oy-1)/3+1)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TRUNC(([2]!oy-1)/3+1)</definedName>
    <definedName name="ьььь" localSheetId="2">TRUNC(([2]!oy-1)/3+1)</definedName>
    <definedName name="ьььь">TRUNC((oy-1)/3+1)</definedName>
    <definedName name="э" localSheetId="3">DATE([2]!yil,[2]!oy,1)</definedName>
    <definedName name="э" localSheetId="2">DATE([2]!yil,[2]!oy,1)</definedName>
    <definedName name="э">DATE(yil,oy,1)</definedName>
    <definedName name="экс" localSheetId="3">TRUNC(([2]!oy-1)/3+1)</definedName>
    <definedName name="экс" localSheetId="2">TRUNC(([2]!oy-1)/3+1)</definedName>
    <definedName name="экс">TRUNC((oy-1)/3+1)</definedName>
    <definedName name="экспор" localSheetId="3">TRUNC(([2]!oy-1)/3+1)</definedName>
    <definedName name="экспор" localSheetId="2">TRUNC(([2]!oy-1)/3+1)</definedName>
    <definedName name="экспор">TRUNC((oy-1)/3+1)</definedName>
    <definedName name="экспорт" localSheetId="3">TRUNC(([2]!oy-1)/3+1)</definedName>
    <definedName name="экспорт" localSheetId="2">TRUNC(([2]!oy-1)/3+1)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가격">#REF!</definedName>
    <definedName name="개발차종">#N/A</definedName>
    <definedName name="경영계획">#REF!</definedName>
    <definedName name="계획" localSheetId="3" hidden="1">#REF!</definedName>
    <definedName name="계획" localSheetId="2" hidden="1">#REF!</definedName>
    <definedName name="계획" hidden="1">#REF!</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권">#N/A</definedName>
    <definedName name="권종원">#N/A</definedName>
    <definedName name="김">#REF!</definedName>
    <definedName name="김세일">#N/A</definedName>
    <definedName name="김일">#N/A</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단가" localSheetId="3" hidden="1">{#N/A,#N/A,FALSE,"BODY"}</definedName>
    <definedName name="단가" localSheetId="2" hidden="1">{#N/A,#N/A,FALSE,"BODY"}</definedName>
    <definedName name="단가" hidden="1">{#N/A,#N/A,FALSE,"BODY"}</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3" hidden="1">{#N/A,#N/A,FALSE,"BODY"}</definedName>
    <definedName name="병수3" localSheetId="2" hidden="1">{#N/A,#N/A,FALSE,"BODY"}</definedName>
    <definedName name="병수3" hidden="1">{#N/A,#N/A,FALSE,"BODY"}</definedName>
    <definedName name="부채현황">#N/A</definedName>
    <definedName name="비교2">#REF!</definedName>
    <definedName name="사업환경" localSheetId="3" hidden="1">{#N/A,#N/A,FALSE,"BODY"}</definedName>
    <definedName name="사업환경" localSheetId="2" hidden="1">{#N/A,#N/A,FALSE,"BODY"}</definedName>
    <definedName name="사업환경" hidden="1">{#N/A,#N/A,FALSE,"BODY"}</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성명">#REF!</definedName>
    <definedName name="세일">#N/A</definedName>
    <definedName name="손익" localSheetId="3" hidden="1">{#N/A,#N/A,FALSE,"BODY"}</definedName>
    <definedName name="손익" localSheetId="2" hidden="1">{#N/A,#N/A,FALSE,"BODY"}</definedName>
    <definedName name="손익" hidden="1">{#N/A,#N/A,FALSE,"BODY"}</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3">[2]!_a1Z,[2]!_a2Z</definedName>
    <definedName name="시설투자" localSheetId="1">[2]!_a1Z,[2]!_a2Z</definedName>
    <definedName name="시설투자" localSheetId="2">[2]!_a1Z,[2]!_a2Z</definedName>
    <definedName name="시설투자">[2]!_a1Z,[2]!_a2Z</definedName>
    <definedName name="시설투자2" localSheetId="3">[2]!_a1Z,[2]!_a2Z</definedName>
    <definedName name="시설투자2" localSheetId="1">[2]!_a1Z,[2]!_a2Z</definedName>
    <definedName name="시설투자2" localSheetId="2">[2]!_a1Z,[2]!_a2Z</definedName>
    <definedName name="시설투자2">[2]!_a1Z,[2]!_a2Z</definedName>
    <definedName name="시장" localSheetId="3">#REF!</definedName>
    <definedName name="시장" localSheetId="2">#REF!</definedName>
    <definedName name="시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원가계획" localSheetId="3" hidden="1">{#N/A,#N/A,FALSE,"BODY"}</definedName>
    <definedName name="원가계획" localSheetId="2" hidden="1">{#N/A,#N/A,FALSE,"BODY"}</definedName>
    <definedName name="원가계획" hidden="1">{#N/A,#N/A,FALSE,"BODY"}</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쇄제목">#REF!</definedName>
    <definedName name="일">#N/A</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입범석">#REF!</definedName>
    <definedName name="재료비" localSheetId="3" hidden="1">{#N/A,#N/A,FALSE,"BODY"}</definedName>
    <definedName name="재료비" localSheetId="2" hidden="1">{#N/A,#N/A,FALSE,"BODY"}</definedName>
    <definedName name="재료비" hidden="1">{#N/A,#N/A,FALSE,"BODY"}</definedName>
    <definedName name="전장su">#REF!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종원">#N/A</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초ㅐ" localSheetId="3" hidden="1">{"'Monthly 1997'!$A$3:$S$89"}</definedName>
    <definedName name="초ㅐ" localSheetId="2" hidden="1">{"'Monthly 1997'!$A$3:$S$89"}</definedName>
    <definedName name="초ㅐ" hidden="1">{"'Monthly 1997'!$A$3:$S$89"}</definedName>
    <definedName name="커버" localSheetId="3">[2]!_a1Z,[2]!_a2Z</definedName>
    <definedName name="커버" localSheetId="1">[2]!_a1Z,[2]!_a2Z</definedName>
    <definedName name="커버" localSheetId="2">[2]!_a1Z,[2]!_a2Z</definedName>
    <definedName name="커버">[2]!_a1Z,[2]!_a2Z</definedName>
    <definedName name="템플리트모듈1" localSheetId="3">[2]!BlankMacro1</definedName>
    <definedName name="템플리트모듈1" localSheetId="1">[2]!BlankMacro1</definedName>
    <definedName name="템플리트모듈1" localSheetId="2">[2]!BlankMacro1</definedName>
    <definedName name="템플리트모듈1">[2]!BlankMacro1</definedName>
    <definedName name="템플리트모듈2" localSheetId="3">[2]!BlankMacro1</definedName>
    <definedName name="템플리트모듈2" localSheetId="1">[2]!BlankMacro1</definedName>
    <definedName name="템플리트모듈2" localSheetId="2">[2]!BlankMacro1</definedName>
    <definedName name="템플리트모듈2">[2]!BlankMacro1</definedName>
    <definedName name="템플리트모듈3" localSheetId="3">[2]!BlankMacro1</definedName>
    <definedName name="템플리트모듈3" localSheetId="1">[2]!BlankMacro1</definedName>
    <definedName name="템플리트모듈3" localSheetId="2">[2]!BlankMacro1</definedName>
    <definedName name="템플리트모듈3">[2]!BlankMacro1</definedName>
    <definedName name="템플리트모듈4" localSheetId="3">[2]!BlankMacro1</definedName>
    <definedName name="템플리트모듈4" localSheetId="1">[2]!BlankMacro1</definedName>
    <definedName name="템플리트모듈4" localSheetId="2">[2]!BlankMacro1</definedName>
    <definedName name="템플리트모듈4">[2]!BlankMacro1</definedName>
    <definedName name="템플리트모듈5" localSheetId="3">[2]!BlankMacro1</definedName>
    <definedName name="템플리트모듈5" localSheetId="1">[2]!BlankMacro1</definedName>
    <definedName name="템플리트모듈5" localSheetId="2">[2]!BlankMacro1</definedName>
    <definedName name="템플리트모듈5">[2]!BlankMacro1</definedName>
    <definedName name="템플리트모듈6" localSheetId="3">[2]!BlankMacro1</definedName>
    <definedName name="템플리트모듈6" localSheetId="1">[2]!BlankMacro1</definedName>
    <definedName name="템플리트모듈6" localSheetId="2">[2]!BlankMacro1</definedName>
    <definedName name="템플리트모듈6">[2]!BlankMacro1</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품목">#REF!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12" i="4" l="1"/>
  <c r="E210" i="4"/>
  <c r="E211" i="4" s="1"/>
  <c r="E209" i="4"/>
  <c r="E208" i="4"/>
  <c r="E207" i="4"/>
  <c r="E206" i="4"/>
  <c r="N205" i="4"/>
  <c r="M205" i="4"/>
  <c r="L205" i="4"/>
  <c r="K205" i="4"/>
  <c r="K204" i="4" s="1"/>
  <c r="J205" i="4"/>
  <c r="I205" i="4"/>
  <c r="H205" i="4"/>
  <c r="G205" i="4"/>
  <c r="F205" i="4"/>
  <c r="E205" i="4"/>
  <c r="N204" i="4"/>
  <c r="I204" i="4"/>
  <c r="H204" i="4"/>
  <c r="E204" i="4"/>
  <c r="N203" i="4"/>
  <c r="M203" i="4"/>
  <c r="M204" i="4" s="1"/>
  <c r="L203" i="4"/>
  <c r="L204" i="4" s="1"/>
  <c r="K203" i="4"/>
  <c r="J203" i="4"/>
  <c r="J204" i="4" s="1"/>
  <c r="I203" i="4"/>
  <c r="H203" i="4"/>
  <c r="G203" i="4"/>
  <c r="G204" i="4" s="1"/>
  <c r="F203" i="4"/>
  <c r="F204" i="4" s="1"/>
  <c r="E203" i="4"/>
  <c r="J186" i="4"/>
  <c r="E186" i="4"/>
  <c r="E183" i="4"/>
  <c r="J185" i="4" s="1"/>
  <c r="E182" i="4"/>
  <c r="E181" i="4"/>
  <c r="E180" i="4"/>
  <c r="M179" i="4"/>
  <c r="L179" i="4"/>
  <c r="K179" i="4"/>
  <c r="H179" i="4"/>
  <c r="G179" i="4"/>
  <c r="F179" i="4"/>
  <c r="E179" i="4"/>
  <c r="M178" i="4"/>
  <c r="L178" i="4"/>
  <c r="K178" i="4"/>
  <c r="G178" i="4"/>
  <c r="H178" i="4" s="1"/>
  <c r="F178" i="4"/>
  <c r="E178" i="4"/>
  <c r="M177" i="4"/>
  <c r="L177" i="4"/>
  <c r="K177" i="4"/>
  <c r="H177" i="4"/>
  <c r="G177" i="4"/>
  <c r="F177" i="4"/>
  <c r="E177" i="4"/>
  <c r="M176" i="4"/>
  <c r="L176" i="4"/>
  <c r="K176" i="4"/>
  <c r="G176" i="4"/>
  <c r="H176" i="4" s="1"/>
  <c r="F176" i="4"/>
  <c r="E176" i="4"/>
  <c r="M175" i="4"/>
  <c r="L175" i="4"/>
  <c r="K175" i="4"/>
  <c r="G175" i="4"/>
  <c r="H175" i="4" s="1"/>
  <c r="F175" i="4"/>
  <c r="E175" i="4"/>
  <c r="M174" i="4"/>
  <c r="L174" i="4"/>
  <c r="K174" i="4"/>
  <c r="H174" i="4"/>
  <c r="G174" i="4"/>
  <c r="F174" i="4"/>
  <c r="E174" i="4"/>
  <c r="M173" i="4"/>
  <c r="L173" i="4"/>
  <c r="K173" i="4"/>
  <c r="G173" i="4"/>
  <c r="H173" i="4" s="1"/>
  <c r="F173" i="4"/>
  <c r="E173" i="4"/>
  <c r="M172" i="4"/>
  <c r="L172" i="4"/>
  <c r="K172" i="4"/>
  <c r="G172" i="4"/>
  <c r="H172" i="4" s="1"/>
  <c r="F172" i="4"/>
  <c r="E172" i="4"/>
  <c r="M171" i="4"/>
  <c r="L171" i="4"/>
  <c r="K171" i="4"/>
  <c r="H171" i="4"/>
  <c r="G171" i="4"/>
  <c r="F171" i="4"/>
  <c r="E171" i="4"/>
  <c r="M170" i="4"/>
  <c r="L170" i="4"/>
  <c r="K170" i="4"/>
  <c r="G170" i="4"/>
  <c r="H170" i="4" s="1"/>
  <c r="F170" i="4"/>
  <c r="E170" i="4"/>
  <c r="M169" i="4"/>
  <c r="L169" i="4"/>
  <c r="K169" i="4"/>
  <c r="G169" i="4"/>
  <c r="H169" i="4" s="1"/>
  <c r="F169" i="4"/>
  <c r="E169" i="4"/>
  <c r="M168" i="4"/>
  <c r="L168" i="4"/>
  <c r="K168" i="4"/>
  <c r="H168" i="4"/>
  <c r="G168" i="4"/>
  <c r="F168" i="4"/>
  <c r="E168" i="4"/>
  <c r="E166" i="4"/>
  <c r="E161" i="4"/>
  <c r="E147" i="4"/>
  <c r="E138" i="4"/>
  <c r="E134" i="4"/>
  <c r="E131" i="4"/>
  <c r="D119" i="4"/>
  <c r="D118" i="4"/>
  <c r="J117" i="4"/>
  <c r="H117" i="4"/>
  <c r="G117" i="4"/>
  <c r="E117" i="4"/>
  <c r="J116" i="4"/>
  <c r="H116" i="4"/>
  <c r="G116" i="4"/>
  <c r="E116" i="4"/>
  <c r="P115" i="4"/>
  <c r="P114" i="4"/>
  <c r="K114" i="4"/>
  <c r="J114" i="4"/>
  <c r="I114" i="4"/>
  <c r="H114" i="4"/>
  <c r="G114" i="4"/>
  <c r="F114" i="4"/>
  <c r="E114" i="4"/>
  <c r="P113" i="4"/>
  <c r="P112" i="4"/>
  <c r="E110" i="4"/>
  <c r="E105" i="4"/>
  <c r="E103" i="4"/>
  <c r="E101" i="4"/>
  <c r="E100" i="4"/>
  <c r="E97" i="4"/>
  <c r="E104" i="4" s="1"/>
  <c r="I90" i="4"/>
  <c r="G90" i="4"/>
  <c r="E90" i="4"/>
  <c r="J82" i="4"/>
  <c r="E78" i="4"/>
  <c r="E81" i="4" s="1"/>
  <c r="J76" i="4"/>
  <c r="J75" i="4"/>
  <c r="J74" i="4"/>
  <c r="H74" i="4"/>
  <c r="G74" i="4"/>
  <c r="J73" i="4"/>
  <c r="I69" i="4"/>
  <c r="G69" i="4"/>
  <c r="I65" i="4"/>
  <c r="G65" i="4"/>
  <c r="E65" i="4"/>
  <c r="E64" i="4"/>
  <c r="E69" i="4" s="1"/>
  <c r="E70" i="4" s="1"/>
  <c r="D61" i="4"/>
  <c r="E59" i="4"/>
  <c r="J81" i="4" s="1"/>
  <c r="H57" i="4"/>
  <c r="H56" i="4"/>
  <c r="E50" i="4"/>
  <c r="E49" i="4"/>
  <c r="P47" i="4"/>
  <c r="E47" i="4"/>
  <c r="P42" i="4"/>
  <c r="P45" i="4" s="1"/>
  <c r="P41" i="4"/>
  <c r="Q41" i="4" s="1"/>
  <c r="R40" i="4"/>
  <c r="M40" i="4"/>
  <c r="I40" i="4"/>
  <c r="M39" i="4"/>
  <c r="P39" i="4" s="1"/>
  <c r="I39" i="4"/>
  <c r="E39" i="4"/>
  <c r="E40" i="4" s="1"/>
  <c r="E41" i="4" s="1"/>
  <c r="E38" i="4"/>
  <c r="M37" i="4"/>
  <c r="I37" i="4"/>
  <c r="E37" i="4"/>
  <c r="P37" i="4" s="1"/>
  <c r="E52" i="4" s="1"/>
  <c r="E53" i="4" s="1"/>
  <c r="R36" i="4"/>
  <c r="P36" i="4"/>
  <c r="E9" i="4"/>
  <c r="E8" i="4"/>
  <c r="E6" i="4"/>
  <c r="Q1" i="4"/>
  <c r="E212" i="3"/>
  <c r="E210" i="3"/>
  <c r="E211" i="3" s="1"/>
  <c r="E209" i="3"/>
  <c r="E208" i="3"/>
  <c r="E207" i="3"/>
  <c r="E206" i="3"/>
  <c r="E9" i="3" s="1"/>
  <c r="N205" i="3"/>
  <c r="M205" i="3"/>
  <c r="L205" i="3"/>
  <c r="K205" i="3"/>
  <c r="J205" i="3"/>
  <c r="J204" i="3" s="1"/>
  <c r="I205" i="3"/>
  <c r="H205" i="3"/>
  <c r="G205" i="3"/>
  <c r="F205" i="3"/>
  <c r="N204" i="3"/>
  <c r="M204" i="3"/>
  <c r="H204" i="3"/>
  <c r="G204" i="3"/>
  <c r="E204" i="3"/>
  <c r="N203" i="3"/>
  <c r="M203" i="3"/>
  <c r="L203" i="3"/>
  <c r="L204" i="3" s="1"/>
  <c r="K203" i="3"/>
  <c r="K204" i="3" s="1"/>
  <c r="J203" i="3"/>
  <c r="I203" i="3"/>
  <c r="I204" i="3" s="1"/>
  <c r="H203" i="3"/>
  <c r="G203" i="3"/>
  <c r="F203" i="3"/>
  <c r="F204" i="3" s="1"/>
  <c r="E203" i="3"/>
  <c r="E205" i="3" s="1"/>
  <c r="J186" i="3"/>
  <c r="E186" i="3"/>
  <c r="E183" i="3"/>
  <c r="J185" i="3" s="1"/>
  <c r="E182" i="3"/>
  <c r="AC45" i="1" s="1"/>
  <c r="Q45" i="2" s="1"/>
  <c r="E181" i="3"/>
  <c r="E180" i="3"/>
  <c r="M179" i="3"/>
  <c r="L179" i="3"/>
  <c r="K179" i="3"/>
  <c r="H179" i="3"/>
  <c r="G179" i="3"/>
  <c r="F179" i="3"/>
  <c r="E179" i="3"/>
  <c r="D179" i="3"/>
  <c r="M178" i="3"/>
  <c r="L178" i="3"/>
  <c r="K178" i="3"/>
  <c r="G178" i="3"/>
  <c r="H178" i="3" s="1"/>
  <c r="F178" i="3"/>
  <c r="E178" i="3"/>
  <c r="D178" i="3"/>
  <c r="M177" i="3"/>
  <c r="L177" i="3"/>
  <c r="K177" i="3"/>
  <c r="G177" i="3"/>
  <c r="H177" i="3" s="1"/>
  <c r="F177" i="3"/>
  <c r="E177" i="3"/>
  <c r="D177" i="3"/>
  <c r="M176" i="3"/>
  <c r="L176" i="3"/>
  <c r="K176" i="3"/>
  <c r="H176" i="3"/>
  <c r="G176" i="3"/>
  <c r="F176" i="3"/>
  <c r="E176" i="3"/>
  <c r="D176" i="3"/>
  <c r="M175" i="3"/>
  <c r="L175" i="3"/>
  <c r="K175" i="3"/>
  <c r="G175" i="3"/>
  <c r="H175" i="3" s="1"/>
  <c r="F175" i="3"/>
  <c r="E175" i="3"/>
  <c r="D175" i="3"/>
  <c r="M174" i="3"/>
  <c r="L174" i="3"/>
  <c r="K174" i="3"/>
  <c r="G174" i="3"/>
  <c r="H174" i="3" s="1"/>
  <c r="F174" i="3"/>
  <c r="E174" i="3"/>
  <c r="D174" i="3"/>
  <c r="M173" i="3"/>
  <c r="L173" i="3"/>
  <c r="K173" i="3"/>
  <c r="H173" i="3"/>
  <c r="G173" i="3"/>
  <c r="F173" i="3"/>
  <c r="E173" i="3"/>
  <c r="D173" i="3"/>
  <c r="M172" i="3"/>
  <c r="L172" i="3"/>
  <c r="K172" i="3"/>
  <c r="G172" i="3"/>
  <c r="H172" i="3" s="1"/>
  <c r="F172" i="3"/>
  <c r="E172" i="3"/>
  <c r="D172" i="3"/>
  <c r="M171" i="3"/>
  <c r="L171" i="3"/>
  <c r="K171" i="3"/>
  <c r="G171" i="3"/>
  <c r="H171" i="3" s="1"/>
  <c r="F171" i="3"/>
  <c r="E171" i="3"/>
  <c r="D171" i="3"/>
  <c r="M170" i="3"/>
  <c r="L170" i="3"/>
  <c r="K170" i="3"/>
  <c r="H170" i="3"/>
  <c r="G170" i="3"/>
  <c r="F170" i="3"/>
  <c r="E170" i="3"/>
  <c r="D170" i="3"/>
  <c r="M169" i="3"/>
  <c r="L169" i="3"/>
  <c r="K169" i="3"/>
  <c r="G169" i="3"/>
  <c r="H169" i="3" s="1"/>
  <c r="F169" i="3"/>
  <c r="E169" i="3"/>
  <c r="D169" i="3"/>
  <c r="M168" i="3"/>
  <c r="L168" i="3"/>
  <c r="K168" i="3"/>
  <c r="G168" i="3"/>
  <c r="H168" i="3" s="1"/>
  <c r="F168" i="3"/>
  <c r="E168" i="3"/>
  <c r="D168" i="3"/>
  <c r="M167" i="3"/>
  <c r="L167" i="3"/>
  <c r="K167" i="3"/>
  <c r="H167" i="3"/>
  <c r="G167" i="3"/>
  <c r="F167" i="3"/>
  <c r="E167" i="3"/>
  <c r="D167" i="3"/>
  <c r="E166" i="3"/>
  <c r="E161" i="3"/>
  <c r="E147" i="3"/>
  <c r="E138" i="3"/>
  <c r="E131" i="3"/>
  <c r="E125" i="3"/>
  <c r="E122" i="3"/>
  <c r="E134" i="3" s="1"/>
  <c r="D119" i="3"/>
  <c r="D118" i="3"/>
  <c r="J117" i="3"/>
  <c r="H117" i="3"/>
  <c r="G117" i="3"/>
  <c r="E117" i="3"/>
  <c r="J116" i="3"/>
  <c r="H116" i="3"/>
  <c r="G116" i="3"/>
  <c r="E116" i="3"/>
  <c r="P115" i="3"/>
  <c r="P114" i="3"/>
  <c r="K114" i="3"/>
  <c r="J114" i="3"/>
  <c r="I114" i="3"/>
  <c r="H114" i="3"/>
  <c r="G114" i="3"/>
  <c r="F114" i="3"/>
  <c r="E114" i="3"/>
  <c r="P113" i="3"/>
  <c r="P112" i="3"/>
  <c r="E110" i="3"/>
  <c r="E105" i="3"/>
  <c r="E104" i="3"/>
  <c r="E103" i="3"/>
  <c r="E101" i="3"/>
  <c r="E100" i="3"/>
  <c r="E97" i="3"/>
  <c r="I90" i="3"/>
  <c r="G90" i="3"/>
  <c r="E90" i="3"/>
  <c r="J82" i="3"/>
  <c r="E78" i="3"/>
  <c r="E81" i="3" s="1"/>
  <c r="J76" i="3"/>
  <c r="J75" i="3"/>
  <c r="H74" i="3"/>
  <c r="G74" i="3"/>
  <c r="J74" i="3" s="1"/>
  <c r="J73" i="3"/>
  <c r="I65" i="3"/>
  <c r="I69" i="3" s="1"/>
  <c r="G65" i="3"/>
  <c r="G69" i="3" s="1"/>
  <c r="E65" i="3"/>
  <c r="D65" i="3"/>
  <c r="E64" i="3"/>
  <c r="E69" i="3" s="1"/>
  <c r="E62" i="3"/>
  <c r="D61" i="3"/>
  <c r="E59" i="3"/>
  <c r="E8" i="3" s="1"/>
  <c r="H57" i="3"/>
  <c r="H56" i="3"/>
  <c r="E50" i="3"/>
  <c r="E49" i="3"/>
  <c r="P47" i="3"/>
  <c r="E47" i="3"/>
  <c r="P42" i="3"/>
  <c r="P45" i="3" s="1"/>
  <c r="Q41" i="3"/>
  <c r="P41" i="3"/>
  <c r="R40" i="3"/>
  <c r="I40" i="3"/>
  <c r="E40" i="3"/>
  <c r="M39" i="3"/>
  <c r="P39" i="3" s="1"/>
  <c r="I39" i="3"/>
  <c r="E39" i="3"/>
  <c r="E140" i="3" s="1"/>
  <c r="E38" i="3"/>
  <c r="D38" i="3"/>
  <c r="M37" i="3"/>
  <c r="I37" i="3"/>
  <c r="P37" i="3" s="1"/>
  <c r="E37" i="3"/>
  <c r="R36" i="3"/>
  <c r="P36" i="3"/>
  <c r="AA11" i="1" s="1"/>
  <c r="O11" i="2" s="1"/>
  <c r="D9" i="3"/>
  <c r="E6" i="3"/>
  <c r="AA12" i="1" s="1"/>
  <c r="O12" i="2" s="1"/>
  <c r="Q1" i="3"/>
  <c r="Q48" i="2"/>
  <c r="AC46" i="2"/>
  <c r="AC45" i="2"/>
  <c r="Z45" i="2"/>
  <c r="AC44" i="2"/>
  <c r="Z44" i="2"/>
  <c r="Q44" i="2"/>
  <c r="Z43" i="2"/>
  <c r="N43" i="2"/>
  <c r="Z42" i="2"/>
  <c r="Z41" i="2"/>
  <c r="AG40" i="2"/>
  <c r="AE40" i="2"/>
  <c r="AB40" i="2"/>
  <c r="Z40" i="2"/>
  <c r="U40" i="2"/>
  <c r="S40" i="2"/>
  <c r="P40" i="2"/>
  <c r="N40" i="2"/>
  <c r="AC30" i="2"/>
  <c r="AC28" i="2"/>
  <c r="AA13" i="2"/>
  <c r="AA12" i="2"/>
  <c r="AA11" i="2"/>
  <c r="Z10" i="2"/>
  <c r="Z9" i="2"/>
  <c r="N9" i="2"/>
  <c r="Z8" i="2"/>
  <c r="N8" i="2"/>
  <c r="Y7" i="2"/>
  <c r="M7" i="2"/>
  <c r="A7" i="2"/>
  <c r="W4" i="2"/>
  <c r="AC46" i="1"/>
  <c r="Q46" i="2" s="1"/>
  <c r="Q46" i="1"/>
  <c r="Z45" i="1"/>
  <c r="Q45" i="1"/>
  <c r="AC44" i="1"/>
  <c r="Z44" i="1"/>
  <c r="Q44" i="1"/>
  <c r="Z43" i="1"/>
  <c r="N43" i="1"/>
  <c r="Z42" i="1"/>
  <c r="N42" i="2" s="1"/>
  <c r="N42" i="1"/>
  <c r="Z41" i="1"/>
  <c r="N41" i="2" s="1"/>
  <c r="N41" i="1"/>
  <c r="AG40" i="1"/>
  <c r="AE40" i="1"/>
  <c r="AB40" i="1"/>
  <c r="Z40" i="1"/>
  <c r="Q30" i="1"/>
  <c r="Q28" i="1"/>
  <c r="O13" i="1"/>
  <c r="O12" i="1"/>
  <c r="O11" i="1"/>
  <c r="Z10" i="1"/>
  <c r="N10" i="1"/>
  <c r="Z9" i="1"/>
  <c r="N9" i="1"/>
  <c r="Z8" i="1"/>
  <c r="N8" i="1"/>
  <c r="Y7" i="1"/>
  <c r="M7" i="1"/>
  <c r="A7" i="1"/>
  <c r="J83" i="4" l="1"/>
  <c r="E70" i="3"/>
  <c r="E7" i="4"/>
  <c r="E83" i="4"/>
  <c r="E52" i="3"/>
  <c r="E53" i="3" s="1"/>
  <c r="E185" i="4"/>
  <c r="E139" i="3"/>
  <c r="E137" i="3" s="1"/>
  <c r="Q42" i="4"/>
  <c r="M40" i="3"/>
  <c r="E41" i="3" s="1"/>
  <c r="Q42" i="3"/>
  <c r="J81" i="3"/>
  <c r="E185" i="3"/>
  <c r="E139" i="4"/>
  <c r="E137" i="4" s="1"/>
  <c r="E140" i="4"/>
  <c r="AA13" i="1"/>
  <c r="O13" i="2" s="1"/>
  <c r="E83" i="3" l="1"/>
  <c r="E7" i="3"/>
  <c r="J83" i="3"/>
  <c r="E145" i="3"/>
  <c r="E164" i="3" s="1"/>
  <c r="E145" i="4"/>
  <c r="E164" i="4" s="1"/>
</calcChain>
</file>

<file path=xl/sharedStrings.xml><?xml version="1.0" encoding="utf-8"?>
<sst xmlns="http://schemas.openxmlformats.org/spreadsheetml/2006/main" count="1223" uniqueCount="641">
  <si>
    <t>[City],</t>
  </si>
  <si>
    <t>[Date]</t>
  </si>
  <si>
    <t>City</t>
  </si>
  <si>
    <t>Date</t>
  </si>
  <si>
    <t>город</t>
  </si>
  <si>
    <t>дата</t>
  </si>
  <si>
    <t>!!! STRICTLY CONFIDENTAL !!!</t>
  </si>
  <si>
    <t>Tashkent</t>
  </si>
  <si>
    <t>!!! СТРОГО КОНФИДЕНЦИАЛЬНО !!!</t>
  </si>
  <si>
    <t>Ташкент</t>
  </si>
  <si>
    <t>INVESTMENT OFFER</t>
  </si>
  <si>
    <t>ИНВЕСТИЦИОННОЕ ПРЕДЛОЖЕНИЕ</t>
  </si>
  <si>
    <t>Objective of the project</t>
  </si>
  <si>
    <t>(for example: boutique hotel)</t>
  </si>
  <si>
    <t>Цель проекта</t>
  </si>
  <si>
    <t>Industry</t>
  </si>
  <si>
    <t>(for example: definition of a boutique hotel)</t>
  </si>
  <si>
    <t>Отрасль</t>
  </si>
  <si>
    <t>Project placement</t>
  </si>
  <si>
    <t>Free Economic Zone</t>
  </si>
  <si>
    <t>(yes)</t>
  </si>
  <si>
    <t>(no)</t>
  </si>
  <si>
    <t>Free economic zone</t>
  </si>
  <si>
    <t xml:space="preserve"> (YES)</t>
  </si>
  <si>
    <t xml:space="preserve"> (NO)</t>
  </si>
  <si>
    <t>Размещение проекта</t>
  </si>
  <si>
    <t>Project capacity</t>
  </si>
  <si>
    <t>sq.m.</t>
  </si>
  <si>
    <t>Проектная мощность</t>
  </si>
  <si>
    <t>тонн</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</si>
  <si>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</si>
  <si>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</si>
  <si>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</si>
  <si>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</si>
  <si>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</si>
  <si>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</si>
  <si>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</si>
  <si>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</si>
  <si>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</si>
  <si>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</si>
  <si>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</si>
  <si>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</si>
  <si>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</si>
  <si>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</si>
  <si>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</si>
  <si>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</si>
  <si>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</si>
  <si>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(НЕТ)</t>
  </si>
  <si>
    <t xml:space="preserve">Other (specify) </t>
  </si>
  <si>
    <t>Прочее (указать)</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</si>
  <si>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</si>
  <si>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</si>
  <si>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</si>
  <si>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</si>
  <si>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</si>
  <si>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</si>
  <si>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</si>
  <si>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</si>
  <si>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</si>
  <si>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</si>
  <si>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</si>
  <si>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</si>
  <si>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</si>
  <si>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</si>
  <si>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</si>
  <si>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</si>
  <si>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</si>
  <si>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If not, then the plans for creation</t>
  </si>
  <si>
    <t>The project management team will be created together with the project investors</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</si>
  <si>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</si>
  <si>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</si>
  <si>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</si>
  <si>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</si>
  <si>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</si>
  <si>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</si>
  <si>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</si>
  <si>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</si>
  <si>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</si>
  <si>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</si>
  <si>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</si>
  <si>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</si>
  <si>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</si>
  <si>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</si>
  <si>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</si>
  <si>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</si>
  <si>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</si>
  <si>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</si>
  <si>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</si>
  <si>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</si>
  <si>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</si>
  <si>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</si>
  <si>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</si>
  <si>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</si>
  <si>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</si>
  <si>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</si>
  <si>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</si>
  <si>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</si>
  <si>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</si>
  <si>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</si>
  <si>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</si>
  <si>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</si>
  <si>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</si>
  <si>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</si>
  <si>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</si>
  <si>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</si>
  <si>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</si>
  <si>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</si>
  <si>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</si>
  <si>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</si>
  <si>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</si>
  <si>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</si>
  <si>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</si>
  <si>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</si>
  <si>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</si>
  <si>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</si>
  <si>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</si>
  <si>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</si>
  <si>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</si>
  <si>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</si>
  <si>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</si>
  <si>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Local market</t>
  </si>
  <si>
    <t>Foreign market</t>
  </si>
  <si>
    <t>План продаж</t>
  </si>
  <si>
    <t>Местный рынок</t>
  </si>
  <si>
    <t>Внешний рынок</t>
  </si>
  <si>
    <t>SWOT Analysis (Main Risks)</t>
  </si>
  <si>
    <t>Strength</t>
  </si>
  <si>
    <t>Weakness</t>
  </si>
  <si>
    <t>Opportunities</t>
  </si>
  <si>
    <t>Threats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</si>
  <si>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</si>
  <si>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</si>
  <si>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</si>
  <si>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</si>
  <si>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</si>
  <si>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</si>
  <si>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</si>
  <si>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</si>
  <si>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Возможности</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</si>
  <si>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</si>
  <si>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</si>
  <si>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</si>
  <si>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</si>
  <si>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</si>
  <si>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</si>
  <si>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Internal rate of return (IRR),%</t>
  </si>
  <si>
    <t>Внутренная норма доходности (IRR),%</t>
  </si>
  <si>
    <t>Net present value (NPV), $</t>
  </si>
  <si>
    <t>Чистая приведенная ценность (NPV), $</t>
  </si>
  <si>
    <t>Return on Investment Index ((PI)</t>
  </si>
  <si>
    <t>Индекс доходности инвестиций ( (PI)</t>
  </si>
  <si>
    <t>Need for Investment</t>
  </si>
  <si>
    <t>Offer from Contractor available</t>
  </si>
  <si>
    <t>Offer to investors / lenders</t>
  </si>
  <si>
    <t>Local investor (initiator) contribution, $</t>
  </si>
  <si>
    <t>Предложение инвесторам / кредиторам</t>
  </si>
  <si>
    <t>Offer for Construction available</t>
  </si>
  <si>
    <t>Foreign investor contribution, $</t>
  </si>
  <si>
    <t>Guarantees</t>
  </si>
  <si>
    <t>Attraction of a lender, $</t>
  </si>
  <si>
    <t>Привлечение кредитора,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</si>
  <si>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</si>
  <si>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</si>
  <si>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</si>
  <si>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</si>
  <si>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</si>
  <si>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</si>
  <si>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</si>
  <si>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</si>
  <si>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</si>
  <si>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</si>
  <si>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</si>
  <si>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</si>
  <si>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тел.
Mail</t>
  </si>
  <si>
    <t>Abdullaeva Sh.</t>
  </si>
  <si>
    <t>To be clarified</t>
  </si>
  <si>
    <t>Свободная экономическая зона</t>
  </si>
  <si>
    <t>tonn</t>
  </si>
  <si>
    <t>кв.м.</t>
  </si>
  <si>
    <t>Создано</t>
  </si>
  <si>
    <t>Если нет, то планы создания</t>
  </si>
  <si>
    <t>если нет, то планы их обучения и т. д.?</t>
  </si>
  <si>
    <t>Если нет, что нужно?</t>
  </si>
  <si>
    <t>Contact of local partner 
(project initiator)</t>
  </si>
  <si>
    <t>Full name</t>
  </si>
  <si>
    <t>Курс СКВ</t>
  </si>
  <si>
    <t>Бизнес план</t>
  </si>
  <si>
    <t>Производство соевого белка, соевого спаржа, соевого творога и соевого молока.</t>
  </si>
  <si>
    <t>Проект</t>
  </si>
  <si>
    <t>Производство соевого белка, соевого спаржа,соевого творога и соевого молока. в ассортименте</t>
  </si>
  <si>
    <t>Стоимость проекта, $</t>
  </si>
  <si>
    <t>Выручка при полной мощности, $</t>
  </si>
  <si>
    <t>Спрос на продукцию проекта на рынке, $</t>
  </si>
  <si>
    <t>Место размещения проекта</t>
  </si>
  <si>
    <t>Будет уточнено</t>
  </si>
  <si>
    <t>Инициатор проекта (местный инвестор)</t>
  </si>
  <si>
    <t>ФХ "--------------------"</t>
  </si>
  <si>
    <t>Дата создания компании, юридический адрес, существующей деятельности компании, ФИО Руководителей и главбуха, контакты</t>
  </si>
  <si>
    <t xml:space="preserve">Размер уставного капитала, состав учредителей и их доля в уставном капитале, долги компании, годовой оборот и прибыль за последний год, </t>
  </si>
  <si>
    <t>Опыта в реализации аналогичных проектов, Наличие дистрибьютерских сети для реализации продукции, Прочие данные об инициаторе</t>
  </si>
  <si>
    <t>Общая сумма инвестиций в проект, $</t>
  </si>
  <si>
    <t>Целевое назначение инвестиций в проект</t>
  </si>
  <si>
    <t>Иностранный инвестор</t>
  </si>
  <si>
    <t>"_Barilla Group_" ltd</t>
  </si>
  <si>
    <t xml:space="preserve">Продукция </t>
  </si>
  <si>
    <t>Номенклатура продукции</t>
  </si>
  <si>
    <t>Наименование продукции</t>
  </si>
  <si>
    <t>Производство соевого белка и жмыха</t>
  </si>
  <si>
    <t>соевого спаржа</t>
  </si>
  <si>
    <t>соевого творога и молока</t>
  </si>
  <si>
    <t>Фото, эскиз</t>
  </si>
  <si>
    <t>Свойства готовой продукции:</t>
  </si>
  <si>
    <r>
      <rPr>
        <b/>
        <sz val="14"/>
        <rFont val="Arial"/>
        <family val="2"/>
        <charset val="204"/>
      </rPr>
      <t>Соя</t>
    </r>
    <r>
      <rPr>
        <sz val="14"/>
        <rFont val="Arial"/>
        <family val="2"/>
        <charset val="204"/>
      </rPr>
      <t xml:space="preserve"> содержит полноценный ценный редкий белок, что делает ее питательной по ценности, в животном белке не задерживается. Уникальные по своему составу биологически активные вещества: лецитин, холин, витамины А, В, Е, макро-и  микроэлементы и другие ценные вещества. Оттенок достаточно высок , хотя и богат качеством, то есть белком и маслом, но сегодня в Узбекистане  он не получил широкого применения в сельском хозяйстве. До 57% его различных сортов составляют диетические белки, легкоусвояемые ненасыщенные жиры и углеводы до 30%.% (главным образом моно - и дисахариды), которые содержат биологически активные вещества и витамины: A, B1, V2, V3, B6, E, S, D, q RR и другие, а также Mp, mo, есть такие микроэлементы, как Mg, V, GE. Все они ежедневно очень важны для нашей жизни и рациона домашних животных.</t>
    </r>
    <r>
      <rPr>
        <b/>
        <sz val="14"/>
        <rFont val="Arial"/>
        <family val="2"/>
        <charset val="204"/>
      </rPr>
      <t>Жидкое соевое молоко</t>
    </r>
    <r>
      <rPr>
        <sz val="14"/>
        <rFont val="Arial"/>
        <family val="2"/>
        <charset val="204"/>
      </rPr>
      <t xml:space="preserve"> Жидкое соевое молоко – вкусный сладковатый напиток нежно-кpемового цвета с пpиятным запахом. Получают его из измельченной и пpоваpенной на паpу сои. Соевое молоко соответствует коpовьему молоку 2%-ной жидкости. Рекомендуют его пpи язве желудка, пеpитональном pаздpажении и повышенной секpеции желудка, пpи заболевании диатезом, для питания маленьких детей и взpослых, особенно пpи пищевой аллеpгии. Используют для пpиготовления супов, каш, блинов и т. д.   </t>
    </r>
    <r>
      <rPr>
        <b/>
        <sz val="14"/>
        <rFont val="Arial"/>
        <family val="2"/>
        <charset val="204"/>
      </rPr>
      <t xml:space="preserve">Соевый сыр тофу </t>
    </r>
    <r>
      <rPr>
        <sz val="14"/>
        <rFont val="Arial"/>
        <family val="2"/>
        <charset val="204"/>
      </rPr>
      <t xml:space="preserve"> очень экономичный, унивеpсальный белковый пpодукт. Похож он на мягкий сыp кpемового цвета без запаха и нежный на вкус. Пpиготавливают его из соевого молока. По биологической ценности и аминокислотному составу сpавним с белком мяса. Его и называют «мясом без костей». На Востоке тофу употpебляют почти 2000 лет.Тофу – идеальный белковый пpодукт для людей со слабым желудком. В нем мало жиpа и углеводов, он легко усваивается оpганизмом. Употpебляют тофу в сыpом, жаpеном, копченом и маpинованном виде   http://www.agriculture.uz/filesarchive/Surxandare_Viloyati_SOYA.pdf </t>
    </r>
    <r>
      <rPr>
        <b/>
        <sz val="14"/>
        <rFont val="Arial"/>
        <family val="2"/>
        <charset val="204"/>
      </rPr>
      <t>Свойства соевого протеина</t>
    </r>
    <r>
      <rPr>
        <sz val="14"/>
        <rFont val="Arial"/>
        <family val="2"/>
        <charset val="204"/>
      </rPr>
      <t xml:space="preserve"> Из – за низкого содержания жира и сахара протеин считается диетическим продуктом, полезным для сердечно – сосудистой системы. Он способствует снижению уровня холестерина, нормализации сахара в крови. Повышает иммунитет, помогает снизить жировую массу, снижает аппетит. Является отличной альтернативой для желающих нарастить мышечную массу. Его употребление повышает выносливость, ускоряет восстановление сил после физических нагрузок.Его состав В соевом протеине содержится: Клетчатка; Железо; Кальций; Цинк; Омега – 3 и Омега – 6; Витамины Е, группы В; Сапонины.Протеин богат веществами – изофлавонами, которые способствуют нормализации кровяного давления, снижению уровня холестерина, снижению риска остеопороза. Хотя анаболический эффект соевого протеина ниже, чем у сывороточного, но он препятствует разрушению мышц и катаболизму.
</t>
    </r>
  </si>
  <si>
    <t>Область применения</t>
  </si>
  <si>
    <t>Пищевая промышленность</t>
  </si>
  <si>
    <t>Формы упаковки и транспортировки</t>
  </si>
  <si>
    <t>Упаковку молока производят в цистерны, фляги, из которых его реализуют. Фасуют молоко в бутылки емкостью 0,25; 0,5 и 1 л, в бумажные пакеты из жироводонепроницаемого картона с полимерными покрытиями, в пакеты из полиэтиленовой пленки, наполненной титаном. Бумажные пакеты могут быть разной формы: тетра-пак (трехгранная призма), пуре-пак (высокий столбик с квадратным основанием), тетра-брик (в форме кирпича). От формы пакета зависит многое: удобство покупки для покупателя, вид транспортной тары, устойчивость упаковки в процессе производства и товародвижения. Чем острее углы в пакетах (тетра-пак), тем быстрее они повреждаются, дают течь, что влечет определенные потери. Для укладки тетра-паков разработана и применяется специальная тара − ящики шестигранной формы из полиэтилена низкого давления. Молоко в упаковках пуре-пак и тетра-брик блоками по 10−12 шт. покрывают термоусадочной пленкой и укладывают в тару-оборудование. Транспортируют молоко и сливки в закрытых охлаждаемых или изотермических емкостях, при их отсутствии продукт обязательно укрывают брезентом или другим защитным материалом. Пастеризованное молоко и сливки должны храниться при температуре от 0 до 8°С не более 36ч с момента окончания технологического процесса.Полотняный тофу достаточно жесткий, он разрезается на брикеты нужного размера. Нарезание шелкового тофу производится в баке с холодной водой.Упаковка, хранение
После нарезания тофу упаковывается и отправляется на хранение. При изготовлении тофу для личного потребления хранить его следует в холодильнике. Дома тофу хранят обычно в емкости с холодной водой (под слоем воды).</t>
  </si>
  <si>
    <t>Наличие документов стандартизации (ГОСТы, ТУ и др. код ТН ВЭД)</t>
  </si>
  <si>
    <t>Код 2106 10 200 0  БЕЛКОВЫЕ КОНЦЕНТРАТЫ И ТЕКСТУРИРОВАННЫЕ БЕЛКОВЫЕ ВЕЩЕСТВА, НЕ СОДЕРЖАЩИЕ МОЛОЧНЫХ ЖИРОВ, САХАРОЗЫ, ИЗОГЛЮКОЗЫ, ГЛЮКОЗЫ ИЛИ КРАХМАЛА ИЛИ СОДЕРЖАЩИЕ МЕНЕЕ 1, 5 МАС% МОЛОЧНОГО ЖИРА, 5 МАС% САХАРОЗЫ . Импортная пошлина:  5%  Экспортная пошлина:                             Отсутствует	Ввозной НДС:	20%</t>
  </si>
  <si>
    <t>Прочие свойства</t>
  </si>
  <si>
    <t>Производители аналогичной продукции, бренды и торговые знаки</t>
  </si>
  <si>
    <t>На рынке присутствует аналогичные изделия импортируемые из Российской федерации. Торговые марка соевого молоко «Orasi»,соевое спаржа «MIDORI»  и пищевая соевая сыр тофу   «morinaga». Имеет ся аналогичные местные производители качество производство которых слабо конкурируют и импорными пищевыми соевыми продуктами.</t>
  </si>
  <si>
    <t>Оптовые цены на готовую продукцию на рынке в среднем  $/ кг</t>
  </si>
  <si>
    <t>Проектная мощность , тонн/год</t>
  </si>
  <si>
    <t>Выручка при полной мощности, $ в год</t>
  </si>
  <si>
    <t>Спрос</t>
  </si>
  <si>
    <t>Прогноз физической потребности</t>
  </si>
  <si>
    <t>Перечень потребителей продукции или услуги</t>
  </si>
  <si>
    <t>Население от 5лет и старше</t>
  </si>
  <si>
    <t>Количество потребителей продукции или услуги</t>
  </si>
  <si>
    <t>более 15 млн. человек</t>
  </si>
  <si>
    <t>Прогноз потребления населением, (тонна)</t>
  </si>
  <si>
    <t>Население региона, чел.</t>
  </si>
  <si>
    <t>Объем аналогичных производств  на этом рынке, ед.изм. (тонн)</t>
  </si>
  <si>
    <t>Объем произведенной продукции на этом рынке, ед.изм. ($)</t>
  </si>
  <si>
    <t>Прогноз повышения потребления, спроса</t>
  </si>
  <si>
    <t>Спрос на продукцию проекта на этом рынке, тонна</t>
  </si>
  <si>
    <t>Спрос на продукцию проекта на этом рынке, $</t>
  </si>
  <si>
    <t>Дополнительный анализ статистической информации (импорт/экспорт, объем производства, статистика цен и др.)  в Узбекистане</t>
  </si>
  <si>
    <t>Наименование</t>
  </si>
  <si>
    <t>2019 год</t>
  </si>
  <si>
    <t xml:space="preserve">Объем импорта продукции проекта (Узбекистан), $, (для прогноза импортзамещения) </t>
  </si>
  <si>
    <t xml:space="preserve">Объем экспорта продукции проекта (Узбекистан),. $ (для выявления зарубежных импортеров) </t>
  </si>
  <si>
    <t>Какие льготы и преференции, а также законы и правила применяются для проекта</t>
  </si>
  <si>
    <t>В целях консервативного подхода в расчетах учтены все налоги</t>
  </si>
  <si>
    <t>Спрос на продукцию проекта, $</t>
  </si>
  <si>
    <t>Внешник рынок</t>
  </si>
  <si>
    <t>Перечень стран</t>
  </si>
  <si>
    <t>Соседи по ЦА</t>
  </si>
  <si>
    <t>Россия</t>
  </si>
  <si>
    <t>Украина</t>
  </si>
  <si>
    <t>Европа</t>
  </si>
  <si>
    <t>Америка</t>
  </si>
  <si>
    <t xml:space="preserve">Количество населении, прочие физиологические потребности </t>
  </si>
  <si>
    <t xml:space="preserve">Прочие данные </t>
  </si>
  <si>
    <t>Спрос на продукцию проекта на этом рынке, количество</t>
  </si>
  <si>
    <t>Сумма спрос на продукцию проекта на этом рынке, $</t>
  </si>
  <si>
    <t>Дополнительный анализ статистической информации (импорт/экспорт)  в странах СНГ  и других внешних рынках</t>
  </si>
  <si>
    <t>Страны</t>
  </si>
  <si>
    <t>в среднем</t>
  </si>
  <si>
    <t>Объем импорта продукции проекта (Казахстан), млн. $, (импорт из России) т, $</t>
  </si>
  <si>
    <t>Россия импорт, $</t>
  </si>
  <si>
    <t>Объем импорта продукции проекта (Китай), млн., $</t>
  </si>
  <si>
    <t>Законы, правила, пощлины и льготы</t>
  </si>
  <si>
    <t>Спрос на этом рынке, $</t>
  </si>
  <si>
    <t>Выводы</t>
  </si>
  <si>
    <t xml:space="preserve">Коротко назначение плана продаж(экспорт/местный рынок), оптовых цен и прочие исходные данные для расчета </t>
  </si>
  <si>
    <t>Исходя из вышеуказанного анализа большую долю продукции целесообразно импортировать</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</si>
  <si>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</si>
  <si>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</si>
  <si>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</si>
  <si>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</si>
  <si>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</si>
  <si>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 xml:space="preserve">Индонезия, Китай, </t>
  </si>
  <si>
    <t>Примеры коммерческих предложений по оборудованию</t>
  </si>
  <si>
    <t>Мега Пауэр Гонконг Груп Лимитед  (китай)</t>
  </si>
  <si>
    <t xml:space="preserve">Jinan Bright machinery company </t>
  </si>
  <si>
    <t>Zhucheng Tianshun machinery co, ltd Ltd.</t>
  </si>
  <si>
    <t>Shenzhen BYS Testing Co.</t>
  </si>
  <si>
    <t>Производительность , (количество/в год)</t>
  </si>
  <si>
    <t>ПроизводительностьСоевый белок изолированный: 8 тонн/день        Количество получаемого молока: 500л./час
Количество получаемого тофу: 150кг/час
Продолжительность одного цикла – 1 час  
Производительность за 24 часа: Для производства 140 кг соевой спаржи нужно 200 кг сои</t>
  </si>
  <si>
    <t>100-2000кг/ч</t>
  </si>
  <si>
    <t>вки:
20 Set/Sets per Week</t>
  </si>
  <si>
    <t>30-260кг/ч</t>
  </si>
  <si>
    <t>Что производит это оборудование</t>
  </si>
  <si>
    <t>Производство соевого белка и жмыха,соевого спаржа,соевого творога и молока</t>
  </si>
  <si>
    <t xml:space="preserve">Производство соевого белка </t>
  </si>
  <si>
    <t xml:space="preserve">линия обработки спаржи стиральная машина спаржа пузырь стиральная машина </t>
  </si>
  <si>
    <t xml:space="preserve">тофу творог машина соевое молоко бойлер соевое молоко разливочная машина </t>
  </si>
  <si>
    <t>Стоимость комплекта оборудования, $</t>
  </si>
  <si>
    <t>1199,67$</t>
  </si>
  <si>
    <t>Контакты поставщика, сайт, ссылка в интернете</t>
  </si>
  <si>
    <t>https://asia-business.ru/torg/complex/meat/meat_1848.html</t>
  </si>
  <si>
    <t>https://russian.alibaba.com/product-detail/soy-protein-isolate-making-machine-soya-protein-mince-machine-1600068360230.html?spm=a2700.8699010.normalList.55.553439d3uUOWjK</t>
  </si>
  <si>
    <t>https://russian.alibaba.com/product-detail/asparagus-processing-line-asparagus-washing-machine-asparagus-bubble-washing-machine-60817812158.html?spm=a2700.8699010.normalList.22.5cc33852eg8C6a</t>
  </si>
  <si>
    <t>https://russian.alibaba.com/product-detail/wholesale-tofu-bean-curd-machine-soybean-milk-boiler-soy-milk-filling-machine-1600129241938.html?spm=a2700.galleryofferlist.normal_offer.d_image.28792c37i15tCp</t>
  </si>
  <si>
    <t>Кратко описание технологического процесса изготовления ГП в предлагаемом оборудовании</t>
  </si>
  <si>
    <t>Процесс производства соевого продукции: посева---уборка---Производство барды из зёрен→барда низкой температуры→автоматическое измерение→первое выщелачивание→делитель→повторное выщелачивание→делитель→соевое молоко→осаждение→делитель→обработка кислотой→нейтрализация→изотропия→дезинфицировать→сушка→делитель→сортировка→охлаждение→бак готовой продукции→упаковка→готовый товар</t>
  </si>
  <si>
    <t>Перечень сырья и его расход, рецептура (потери сырья) чтобы получить ГП (за единицу, за определенный объем) на этом оборудовании</t>
  </si>
  <si>
    <t>семена-15%, Азот-12%, Фосфор - 5%, калий - 8%,коагулянт -25%,   и прочее - 5,6%</t>
  </si>
  <si>
    <t xml:space="preserve">Перечень энергетических ресурсов (электричества, топливо, вода и др.) и его расход при работе оборудования по получению ГП </t>
  </si>
  <si>
    <t>электричество, топливо, вода и др.</t>
  </si>
  <si>
    <t xml:space="preserve">Эл. Энергия </t>
  </si>
  <si>
    <t>-</t>
  </si>
  <si>
    <t>Площадь здания, сооружения необходимого для размещения данного оборудования, кв.м.</t>
  </si>
  <si>
    <t xml:space="preserve">Количество работников в смену (в сутки, в сезон) при эксплуатации данного оборудования </t>
  </si>
  <si>
    <t>Сведения о выбранном оборудовании</t>
  </si>
  <si>
    <t>Применяемая технология и его описание</t>
  </si>
  <si>
    <t>Гарантируемая производительность, в год,</t>
  </si>
  <si>
    <t>Страна происхождения оборудования</t>
  </si>
  <si>
    <t>Китай</t>
  </si>
  <si>
    <t>Общая стоимость комплекта оборудования</t>
  </si>
  <si>
    <t>Занимаемая площадь оборудования, кв.м.</t>
  </si>
  <si>
    <t xml:space="preserve">Количество работников при эксплуатации данного оборудования </t>
  </si>
  <si>
    <t>Срок поставки и ввода оборудования, мес.</t>
  </si>
  <si>
    <t>Прочие данные</t>
  </si>
  <si>
    <t xml:space="preserve">Перечень оборудования закупаемая на местном рынке </t>
  </si>
  <si>
    <t>Сырье и ресурсы</t>
  </si>
  <si>
    <t>Наименование перечень основного сырья, материалов, упаковки</t>
  </si>
  <si>
    <t>Источники сырья (местный или импорт)</t>
  </si>
  <si>
    <t>местный</t>
  </si>
  <si>
    <t>Наименование региона источника сырья, примеры.</t>
  </si>
  <si>
    <t>Рынки оптовой торговли</t>
  </si>
  <si>
    <t>РЕЦЕПТУПА % (Коротко рецептура расхода сырья, гр/ шт. готовой продукции)</t>
  </si>
  <si>
    <t>семена соя 120кг 1Га</t>
  </si>
  <si>
    <t>Азот90кг 1ГА</t>
  </si>
  <si>
    <t>Фосфор 40кг 1Га</t>
  </si>
  <si>
    <t>Калий 65кг 1Га</t>
  </si>
  <si>
    <t xml:space="preserve">упаковка </t>
  </si>
  <si>
    <t>гафрокаробка</t>
  </si>
  <si>
    <t>Оптовые цены (Коротко конъюктура цен сырья, материалов и др. на рынке) $/кг</t>
  </si>
  <si>
    <t>Перечень энергетических ресурсов, ед. изм.</t>
  </si>
  <si>
    <t>Эл. Энергия,КВт</t>
  </si>
  <si>
    <t>Вода, куб.м.</t>
  </si>
  <si>
    <t>Природный газ, куб.м.</t>
  </si>
  <si>
    <t>топливо, тонн</t>
  </si>
  <si>
    <t>Прочее</t>
  </si>
  <si>
    <t>Потребность в энергетических ресурсах в год</t>
  </si>
  <si>
    <t>нет</t>
  </si>
  <si>
    <t>Тарифы, $</t>
  </si>
  <si>
    <t>0,7 долл. За шт</t>
  </si>
  <si>
    <t>2,5 долл за кг</t>
  </si>
  <si>
    <t>Регион места размещения</t>
  </si>
  <si>
    <t>Сурхандаринская область</t>
  </si>
  <si>
    <t>Ташкентская область</t>
  </si>
  <si>
    <t>Хорезмская область</t>
  </si>
  <si>
    <t>Юридический адрес проекта</t>
  </si>
  <si>
    <t>Преимущества места размещения:</t>
  </si>
  <si>
    <t xml:space="preserve">Наличие сырья </t>
  </si>
  <si>
    <t>Наличие мощностей инженерной инфраструктуры (готовое здание, газ, электр, вода и прочее)</t>
  </si>
  <si>
    <t>Наличие дорожной инфраструктуры (ж-д, авто дороги и др.)</t>
  </si>
  <si>
    <t xml:space="preserve">Наличие свободного земельного участка, посевных площадей </t>
  </si>
  <si>
    <t>Другие параметры места размещения проекта</t>
  </si>
  <si>
    <t>Существующие здания и прочие основные фонды</t>
  </si>
  <si>
    <t xml:space="preserve">Выбранное место размещения данного проекта </t>
  </si>
  <si>
    <t>Необходимые объемы строительства (реконструкции или ремонта)</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</si>
  <si>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</si>
  <si>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</si>
  <si>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</si>
  <si>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 xml:space="preserve">Посевные и другие С/Х площади, га  </t>
  </si>
  <si>
    <t>Прочие площади</t>
  </si>
  <si>
    <t>не требуется</t>
  </si>
  <si>
    <t>Прочие сведения</t>
  </si>
  <si>
    <t>Предварительная стоимость 1 кв.м. строительства в регионе, $</t>
  </si>
  <si>
    <t>Предварительная стоимость здания и сооружения проекта, $ (при отсутствии сметы)</t>
  </si>
  <si>
    <t>Сметная стоимость строительной части проекта, $, в том числе</t>
  </si>
  <si>
    <t>Стоимость подготовкии территории строительства</t>
  </si>
  <si>
    <t>Стоимость строительства основных зданий</t>
  </si>
  <si>
    <t>Стоимость объектов обслуживающего значения</t>
  </si>
  <si>
    <t>Стоимость объектов энергетич.  значения</t>
  </si>
  <si>
    <t>Стоимость объектов транспорт значения</t>
  </si>
  <si>
    <t>Стоимость наружных сетей</t>
  </si>
  <si>
    <t>Стоимость озеления и благоустройства</t>
  </si>
  <si>
    <t>Стоимость временных сооружений</t>
  </si>
  <si>
    <t>Стоимость содержания ДСП</t>
  </si>
  <si>
    <t>Стоимость подготовки кадров</t>
  </si>
  <si>
    <t>Стоимость ПИР</t>
  </si>
  <si>
    <t>Резерв на напредвиденные расходы</t>
  </si>
  <si>
    <t>Прибыль подрядчика</t>
  </si>
  <si>
    <t>Срок строительства, мес.</t>
  </si>
  <si>
    <t>прочее по срокам</t>
  </si>
  <si>
    <t>Стоимость строительных или ремонтных работ</t>
  </si>
  <si>
    <t xml:space="preserve">Экономическая эффективность </t>
  </si>
  <si>
    <t>Стоимость проекта, $, в том числе</t>
  </si>
  <si>
    <t>Прямые  инвестиции, $ в том числе:</t>
  </si>
  <si>
    <t>Вклад местного инвестора (инициатора), $</t>
  </si>
  <si>
    <t>Вклад иностранного инвестора, $</t>
  </si>
  <si>
    <t>Кредиты или займы, $</t>
  </si>
  <si>
    <t>Наименование кредиторов</t>
  </si>
  <si>
    <t xml:space="preserve">Кредит 1 </t>
  </si>
  <si>
    <t xml:space="preserve">Кредит 2 </t>
  </si>
  <si>
    <t>Сумма кредита</t>
  </si>
  <si>
    <t>Период освоения кредита, мес.</t>
  </si>
  <si>
    <t>Срок возврата кредита, лет</t>
  </si>
  <si>
    <t>% ставка</t>
  </si>
  <si>
    <t>Залог, обеспечение кредита</t>
  </si>
  <si>
    <t>Имущество инициатора</t>
  </si>
  <si>
    <t>прочие данные</t>
  </si>
  <si>
    <t>Налоги</t>
  </si>
  <si>
    <t>Ставка, %</t>
  </si>
  <si>
    <t>Льготы</t>
  </si>
  <si>
    <t>База расчета налога</t>
  </si>
  <si>
    <t>Налог на прибыль, %</t>
  </si>
  <si>
    <t>Налог на имущество, %</t>
  </si>
  <si>
    <t>Остаточная стоимость имущества</t>
  </si>
  <si>
    <t>Налог на землю, сум за ГА</t>
  </si>
  <si>
    <t xml:space="preserve">Площадь, </t>
  </si>
  <si>
    <t>Единый налог, %</t>
  </si>
  <si>
    <t>Выручка</t>
  </si>
  <si>
    <t>НДС, %</t>
  </si>
  <si>
    <t>Выручка за вычетом НДС расходной части</t>
  </si>
  <si>
    <t>Акциз, %</t>
  </si>
  <si>
    <t>Прочие налоги,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</si>
  <si>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</si>
  <si>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</si>
  <si>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</si>
  <si>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</si>
  <si>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</si>
  <si>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</si>
  <si>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</si>
  <si>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</si>
  <si>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</si>
  <si>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</si>
  <si>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</si>
  <si>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</si>
  <si>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</si>
  <si>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</si>
  <si>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</si>
  <si>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</si>
  <si>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http://www.agriculture.uz/filesarchive/Surxandare_Viloyati_SOYA.pdf</t>
  </si>
  <si>
    <t xml:space="preserve">Количество рабочих мест </t>
  </si>
  <si>
    <t xml:space="preserve">Количество рабочих мест на 1 млн. $ инвестиций </t>
  </si>
  <si>
    <t>https://fermer.ru/sovet/rastenievodstvo/20410</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</si>
  <si>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</si>
  <si>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</si>
  <si>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</si>
  <si>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Замещение импорта, создание рабочих мест и прочие
Собственное сырья по отношению к производственной площадке, широкий ассортимент продукции. Привлечение передовой технологии</t>
  </si>
  <si>
    <t xml:space="preserve">Слабые стороны </t>
  </si>
  <si>
    <t>Высокая чуствительность на изменение цены продукции, необходимо целенаправленные маркетинговые меры для продвижение продукции на розничном рынке</t>
  </si>
  <si>
    <t>Возможность увеличения ассортимента продукции</t>
  </si>
  <si>
    <t>Угрозы (недостатки)</t>
  </si>
  <si>
    <t>Высокая конкуренция, наличие аналогичной продукции низкого качества</t>
  </si>
  <si>
    <t>Нерешенные вопросы и необходимые меры:</t>
  </si>
  <si>
    <t>Необходимо изыскать добровольного инициатора проекта с достаточным собственным капиталом ввиде здания, строительных работ, оплаты части вспомогательного оборудования, запаса сырья и проектирования ПСД</t>
  </si>
  <si>
    <t xml:space="preserve">Необходимо изыскать место реализации проекта c коммунальной и дорожной инфраструктурой </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</si>
  <si>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оборудования и его доставки, обучения персонала и финансовых издержек. </t>
  </si>
  <si>
    <t>Для открытия финансирования необходимо разработать и утвердить ПСД и выбрать поставшиков оборудования, строительных работ, сырья и материалов и заключить с ними договоры</t>
  </si>
  <si>
    <t>Business plan</t>
  </si>
  <si>
    <t>Production of soy protein, soy asparagus, soy curd and soy milk in assortment</t>
  </si>
  <si>
    <t>Project</t>
  </si>
  <si>
    <t>Project cost, $</t>
  </si>
  <si>
    <t>Revenue at full capacity, $</t>
  </si>
  <si>
    <t>Market demand for the project's products, $</t>
  </si>
  <si>
    <t>Payback period (DPP) (month)</t>
  </si>
  <si>
    <t>Project location</t>
  </si>
  <si>
    <t xml:space="preserve">Product </t>
  </si>
  <si>
    <t>Product range</t>
  </si>
  <si>
    <t>Product name</t>
  </si>
  <si>
    <t>Production of soy protein and meal</t>
  </si>
  <si>
    <t>Soy asparagus</t>
  </si>
  <si>
    <t>Bean curd and milk</t>
  </si>
  <si>
    <t>Finished product properties:</t>
  </si>
  <si>
    <r>
      <rPr>
        <b/>
        <sz val="14"/>
        <rFont val="Arial"/>
        <family val="2"/>
        <charset val="204"/>
      </rPr>
      <t>Soy contains</t>
    </r>
    <r>
      <rPr>
        <sz val="14"/>
        <rFont val="Arial"/>
        <family val="2"/>
        <charset val="204"/>
      </rPr>
      <t xml:space="preserve"> a full-fledged valuable rare protein, which makes it nutritious in value, it does not linger in animal protein. Unique in its composition biologically active substances: lecithin, choline, vitamins A, B, E, macro-and microelements and other valuable substances. The shade is quite high, although it is rich in quality, that is, protein and oil, but today in Uzbekistan it is not widely used in agriculture. Up to 57% of its various varieties are dietary proteins, easily digestible unsaturated fats and carbohydrates up to 30%.% (mainly mono - and disaccharides), which contain biologically active substances and vitamins: A, B1, V2, V3, B6, E, S, D, q RR and others, as well as Mp, mo, there are trace elements such as Mg, V, GE. All of them are very important for our daily life and the diet of pets.Liquid soy milk Liquid soy milk is a delicious sweet drink of a soft cream color with a pleasant smell. It is obtained from crushed and steamed soy. Soy milk corresponds to cow's milk of 2% liquid. It is recommended for stomach ulcers, peritoneal irritation and increased gastric secretion, for diathesis, for feeding young children and adults, especially for food allergies. It is used for making soups, porridges, pancakes, etc. Tofu soy cheese is a very economical, versatile protein product. It looks like a soft cream-colored cheese with no smell and a delicate taste. It is prepared from soy milk. In terms of biological value and amino acid composition, it is comparable to meat protein. It is called "meat without bones". In the East, tofu has been consumed for almost 2000 years.Tofu is an ideal protein product for people with a weak stomach. It is low in fat and carbohydrates, it is easily absorbed by the body. Tofu is eaten raw, fried, smoked and pickled http://www.agriculture.uz/filesarchive/Surxandare_Viloyati_SOYA.pdf Properties of soy protein Due to its low fat and sugar content, protein is considered a dietary product that is beneficial for the cardiovascular system. It helps to reduce cholesterol, normalize blood sugar. Increases immunity, helps to reduce fat mass, reduces appetite. It is an excellent alternative for those who want to build muscle mass. Its use increases endurance, accelerates the recovery of strength after physical exertion.Its composition In soy protein contains: Fiber; Iron; Calcium; Zinc; Omega-3 and Omega-6; Vitamins E, group B; Saponins.Protein is rich in substances-isoflavones, which help to normalize blood pressure, lower cholesterol, and reduce the risk of osteoporosis. Although the anabolic effect of soy protein is lower than that of whey, it prevents muscle breakdown and catabolism.
</t>
    </r>
  </si>
  <si>
    <t>Area of application</t>
  </si>
  <si>
    <t>Food processing industry</t>
  </si>
  <si>
    <t>Forms of packaging and transportation</t>
  </si>
  <si>
    <t>The packaging of milk is made in tanks, flasks, from which it is sold. Milk is packed in bottles with a capacity of 0.25, 0.5 and 1 l, in paper bags made of fat-proof cardboard with polymer coatings, in bags made of plastic film filled with titanium. Paper bags can be of different shapes: tetra-pak (three-sided prism), pure-pak (a high column with a square base), tetra-brik (in the form of a brick). Many things depend on the shape of the package: the convenience of buying for the buyer, the type of transport packaging, the stability of the package in the process of production and distribution of goods. The sharper the corners in the packages (tetra-pack), the faster they are damaged, leak, which entails certain losses. For laying tetra-packs, a special container is developed and used − boxes of hexagon shape made of low-pressure polyethylene. Milk in pure-pak and tetra-brik packages in blocks of 10-12 pcs. is covered with a heat-shrink film and placed in a container-equipment. Milk and cream are transported in closed refrigerated or insulated containers, in their absence, the product must be covered with a tarpaulin or other protective material. Pasteurized milk and cream should be stored at a temperature of 0 to 8°C for no more than 36 hours from the end of the technological process.Plain tofu is quite hard, it is cut into briquettes of the desired size. Slicing silk tofu is done in a tank of cold water.Packaging, storage
After slicing, the tofu is packed and sent for storage. In the manufacture of tofu for personal use it should be stored in the refrigerator. At home, tofu is usually stored in a container with cold water (under a layer of water).</t>
  </si>
  <si>
    <t>Availability of standardization documents (GOSTs, TUs and other TN VED code)</t>
  </si>
  <si>
    <t xml:space="preserve">Code 2106 10 200 0 PROTEIN CONCENTRATES AND TEXTURED PROTEIN SUBSTANCES, NOT CONTAINING MILK FATS, SUCHAROSE, IOSOGLUCOSE, GLUCOSE OR STARCH OR CONTAINING LESS THAN 1, 5% OIL 5% OIL 5% OIL, NO FATS. Import VAT: 20% </t>
  </si>
  <si>
    <t>Similar product manufacturers, brands and trademarks</t>
  </si>
  <si>
    <t>There are similar products on the market imported from the Russian Federation. Trademarks soy milk "Orasi", soy asparagus "MIDORI" and edible soy cheese tofu "morinaga". There are similar local producers whose production quality is weakly competing with imported food soy products.</t>
  </si>
  <si>
    <t>Wholesale prices for finished products on the market on average $ / kg</t>
  </si>
  <si>
    <t>Project capacity, tons / year</t>
  </si>
  <si>
    <t>Revenue at full capacity, $ per year</t>
  </si>
  <si>
    <t>Demand</t>
  </si>
  <si>
    <t>Physical need forecast</t>
  </si>
  <si>
    <t>List of consumers of products or services</t>
  </si>
  <si>
    <t>Population 5 years and older</t>
  </si>
  <si>
    <t>Number of consumers of a product or service</t>
  </si>
  <si>
    <t>More than 15 million people</t>
  </si>
  <si>
    <t>Population consumption forecast, (ton)</t>
  </si>
  <si>
    <t>The volume of products manufactured in this market, units ($)</t>
  </si>
  <si>
    <t>Forecast of increase in consumption, demand</t>
  </si>
  <si>
    <t>Demand for the project's products in this market, ton</t>
  </si>
  <si>
    <t>Additional analysis of statistical information (import / export, production volume, price statistics, etc.) in Uzbekistan</t>
  </si>
  <si>
    <t>Name</t>
  </si>
  <si>
    <t>2019 year</t>
  </si>
  <si>
    <t>Import volume of project products (Uzbekistan), $, (for import substitution forecast)</t>
  </si>
  <si>
    <t>Export volume of project products (Uzbekistan) ,. $ (to identify foreign importers)</t>
  </si>
  <si>
    <t>What benefits and preferences, as well as laws and regulations apply to the project</t>
  </si>
  <si>
    <t>For a conservative approach, all taxes are included in the calculations</t>
  </si>
  <si>
    <t>Demand for project products, $</t>
  </si>
  <si>
    <t>List of countries</t>
  </si>
  <si>
    <t>Neighbors in Central Asia</t>
  </si>
  <si>
    <t>Russia</t>
  </si>
  <si>
    <t>Ukraine</t>
  </si>
  <si>
    <t>Europe</t>
  </si>
  <si>
    <t>America</t>
  </si>
  <si>
    <t>Number of population, other physiological needs</t>
  </si>
  <si>
    <t>Other data</t>
  </si>
  <si>
    <t>Demand for the project's products in this market, quantity</t>
  </si>
  <si>
    <t>Demand for the project's products in this market, $</t>
  </si>
  <si>
    <t>The amount of demand for the project's products in this market, $</t>
  </si>
  <si>
    <t>Additional analysis of statistical information (import / export) in the CIS countries and other foreign markets</t>
  </si>
  <si>
    <t>Countries</t>
  </si>
  <si>
    <t>on average</t>
  </si>
  <si>
    <t>Import volume of project products (Kazakhstan), million $, (import from Russia) t, $</t>
  </si>
  <si>
    <t>Russia import, $</t>
  </si>
  <si>
    <t>Import volume of project products (China), million, $</t>
  </si>
  <si>
    <t>Demand in this market, $</t>
  </si>
  <si>
    <t>Findings</t>
  </si>
  <si>
    <t>Briefly the purpose of the sales plan (export / local market), wholesale prices and other input data for the calculation</t>
  </si>
  <si>
    <t>Based on the above analysis, it is advisable to import a large share of products</t>
  </si>
  <si>
    <t>Total demand (export / local market), $</t>
  </si>
  <si>
    <t>Sales plan (export / local market),%</t>
  </si>
  <si>
    <t>Share of project sales on the market,%</t>
  </si>
  <si>
    <t>Equipment</t>
  </si>
  <si>
    <t>Leading equipment manufacturers of the project, existing advanced technologies and other overview information</t>
  </si>
  <si>
    <t>Indonesia, China</t>
  </si>
  <si>
    <t>Examples of commercial offers for equipment</t>
  </si>
  <si>
    <t>Mega Power Hong Kong Group Limited (China)</t>
  </si>
  <si>
    <t>Jinan Bright machinery company</t>
  </si>
  <si>
    <t>Productivity, (quantity / per year)</t>
  </si>
  <si>
    <t xml:space="preserve">Productivity Soy protein isolated: 8 tons / day Amount of received milk: 500 liters / hour
Amount of received tofu: 150kg / hour
Duration of one cycle - 1 hour
Productivity in 24 hours: To produce 140 kg of soy asparagus, 200 kg of soy is needed </t>
  </si>
  <si>
    <t>100-2000kg / h</t>
  </si>
  <si>
    <t xml:space="preserve">wki:
20 Set / Sets per Week </t>
  </si>
  <si>
    <t>30-260 kg/h</t>
  </si>
  <si>
    <t>Equipment set cost, $</t>
  </si>
  <si>
    <t>Supplier contacts, website, link on the Internet</t>
  </si>
  <si>
    <t>Brief description of the technological process of manufacturing HZ in the proposed equipment</t>
  </si>
  <si>
    <t>Soybean production process: sowing --- harvesting --- Grain stillage production → low temperature stillage → automatic measurement → first leaching → divider → re-leaching → divider → soy milk → sedimentation → divider → acid treatment → neutralization → isotropy → disinfect → drying → divider → sorting → cooling → finished product tank → packaging → finished product</t>
  </si>
  <si>
    <t>List of raw materials and their consumption, recipe (loss of raw materials) in order to obtain GP (per unit, for a certain volume) on this equipment</t>
  </si>
  <si>
    <t>Seeds-15%, Nitrogen-12%, Phosphorus - 5%, potassium - 8%, Coagulant -25%, and others - 5.6%</t>
  </si>
  <si>
    <t>The list of energy resources (electricity, fuel, water, etc.) and its consumption during the operation of equipment for obtaining GP</t>
  </si>
  <si>
    <t>Electricity, fuel, water, etc.</t>
  </si>
  <si>
    <t>The area of ​​the building, the structure required to accommodate this equipment, sq. M.</t>
  </si>
  <si>
    <t>The number of workers per shift (per day, per season) when operating this equipment</t>
  </si>
  <si>
    <t>Information about the selected equipment</t>
  </si>
  <si>
    <t>Applied technology and its description</t>
  </si>
  <si>
    <t>Guaranteed productivity, per year,</t>
  </si>
  <si>
    <t>Country of origin of equipment</t>
  </si>
  <si>
    <t>China</t>
  </si>
  <si>
    <t>Total cost of a set of equipment</t>
  </si>
  <si>
    <t>The occupied area of ​​the equipment, sq.m.</t>
  </si>
  <si>
    <t>The number of employees when operating this equipment</t>
  </si>
  <si>
    <t>Delivery and commissioning time of equipment, months</t>
  </si>
  <si>
    <t>Raw materials and resources</t>
  </si>
  <si>
    <t>Name list of basic raw materials, materials, packaging</t>
  </si>
  <si>
    <t>Sources of raw materials (local or imported)</t>
  </si>
  <si>
    <t>Local</t>
  </si>
  <si>
    <t>Name of the region of the source of raw materials, examples.</t>
  </si>
  <si>
    <t>Wholesale markets</t>
  </si>
  <si>
    <t>RECIPE% (Briefly recipe for consumption of raw materials, g / unit of finished product)</t>
  </si>
  <si>
    <t>Soybean seeds 120kg 1ha</t>
  </si>
  <si>
    <t>Nitrogen90kg 1GA</t>
  </si>
  <si>
    <t>Phosphorus 40kg 1Ha</t>
  </si>
  <si>
    <t>Potassium 65kg 1ha</t>
  </si>
  <si>
    <t>Packaging</t>
  </si>
  <si>
    <t>Corrugated box</t>
  </si>
  <si>
    <t>List of energy resources, units rev.</t>
  </si>
  <si>
    <t>El. Energy, kW</t>
  </si>
  <si>
    <t>Water, cubic meters</t>
  </si>
  <si>
    <t>Natural gas, cubic meters</t>
  </si>
  <si>
    <t>Fuel, tons</t>
  </si>
  <si>
    <t>Other</t>
  </si>
  <si>
    <t>Energy demand per year</t>
  </si>
  <si>
    <t>No</t>
  </si>
  <si>
    <t>Tariffs, $</t>
  </si>
  <si>
    <t>Project Location</t>
  </si>
  <si>
    <t>Location region</t>
  </si>
  <si>
    <t>Surkhandara region</t>
  </si>
  <si>
    <t>Tashkent region</t>
  </si>
  <si>
    <t>Khorezm region</t>
  </si>
  <si>
    <t>Legal address of the project</t>
  </si>
  <si>
    <t>Availability of raw materials</t>
  </si>
  <si>
    <t>Availability of engineering infrastructure facilities (finished building, gas, electricity, water, etc.)</t>
  </si>
  <si>
    <t>Availability of road infrastructure (railway, auto roads, etc.)</t>
  </si>
  <si>
    <t>Other project location options</t>
  </si>
  <si>
    <t>Existing buildings and other fixed assets</t>
  </si>
  <si>
    <t>The occupied area of ​​the project, hectares, including:</t>
  </si>
  <si>
    <t>Area of ​​industrial buildings and structures</t>
  </si>
  <si>
    <t>Area adjacent to buildings</t>
  </si>
  <si>
    <t>Sowing and other agricultural areas, ha</t>
  </si>
  <si>
    <t>The preliminary cost of 1 sq.m. construction in the region, $</t>
  </si>
  <si>
    <t>The preliminary cost of the building and construction of the project, $ (in the absence of an estimate)</t>
  </si>
  <si>
    <t>Economic efficiency</t>
  </si>
  <si>
    <t>Project cost, $, including</t>
  </si>
  <si>
    <t>Indicators</t>
  </si>
  <si>
    <t>Costs in national currency</t>
  </si>
  <si>
    <t>Costs in hard currency</t>
  </si>
  <si>
    <t>Total</t>
  </si>
  <si>
    <t>Structure</t>
  </si>
  <si>
    <t>Loans and Credits</t>
  </si>
  <si>
    <t>Local investor</t>
  </si>
  <si>
    <t>Foreign investor</t>
  </si>
  <si>
    <t>Projecting</t>
  </si>
  <si>
    <t>Buildings, structures, land</t>
  </si>
  <si>
    <t>Basic equipment</t>
  </si>
  <si>
    <t>Auxiliary equipment</t>
  </si>
  <si>
    <t>Transportation costs, installation supervision, training</t>
  </si>
  <si>
    <t>Other fixed assets</t>
  </si>
  <si>
    <t>Total Fixed Assets</t>
  </si>
  <si>
    <t>Stocks of raw materials and supplies</t>
  </si>
  <si>
    <t>Financial costs</t>
  </si>
  <si>
    <t>TOTAL INITIAL COST OF THE PROJECT</t>
  </si>
  <si>
    <t>Direct investments, $ including:</t>
  </si>
  <si>
    <t>Credits or Loans, $</t>
  </si>
  <si>
    <t>Cash flows</t>
  </si>
  <si>
    <t>Years</t>
  </si>
  <si>
    <t>1st year</t>
  </si>
  <si>
    <t>2nd year</t>
  </si>
  <si>
    <t>3rd year</t>
  </si>
  <si>
    <t>4th year</t>
  </si>
  <si>
    <t>5th year</t>
  </si>
  <si>
    <t>6th year</t>
  </si>
  <si>
    <t>7th year</t>
  </si>
  <si>
    <t>8th year</t>
  </si>
  <si>
    <t>9th year</t>
  </si>
  <si>
    <t>10th year</t>
  </si>
  <si>
    <t>Cash inflows</t>
  </si>
  <si>
    <t>Cash outflows</t>
  </si>
  <si>
    <t>Net cash flow</t>
  </si>
  <si>
    <t>Net Present Value (NPV), $</t>
  </si>
  <si>
    <t>Return on Investment Index (PI)</t>
  </si>
  <si>
    <t>Number of workplaces</t>
  </si>
  <si>
    <t>Number of jobs per $ 1 million investment</t>
  </si>
  <si>
    <t>Tax incentives and preferences for the project</t>
  </si>
  <si>
    <t>Advantages, Disadvantages and Unresolved Issues</t>
  </si>
  <si>
    <t>Strengths (Project Benefits)</t>
  </si>
  <si>
    <t xml:space="preserve">Import substitution, job creation and other
Own raw materials in relation to the production site, a wide range of products. Engaging advanced technology </t>
  </si>
  <si>
    <t>Weaknesses</t>
  </si>
  <si>
    <t>High sensitivity to changes in product prices, targeted marketing measures are required to promote products in the retail market</t>
  </si>
  <si>
    <t>The possibility of increasing the range of products</t>
  </si>
  <si>
    <t>Threats (disadvantages)</t>
  </si>
  <si>
    <t>High competition, availability of similar low quality products</t>
  </si>
  <si>
    <t>Unresolved Issues and Necessary Measures:</t>
  </si>
  <si>
    <t>It is necessary to find a voluntary project initiator with sufficient equity capital in the form of a building, construction work, payment for a part of auxiliary equipment, stock of raw materials and design and estimate documentation.</t>
  </si>
  <si>
    <t>It is necessary to find a place for the implementation of the project with communal and road infrastructure</t>
  </si>
  <si>
    <t>It is necessary to find a partner (including a foreign investor) interested in participating in the project with investments to pay for the cost of equipment and its delivery, staff training and financial costs.</t>
  </si>
  <si>
    <t>To open financing, it is necessary to develop and approve FS and Detailed design and estimate documentation and select suppliers of equipment, construction works, raw materials and materials and conclude agreements with them</t>
  </si>
  <si>
    <t>Project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</si>
</sst>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409]#,##0"/>
    <numFmt numFmtId="166" formatCode="0.000"/>
    <numFmt numFmtId="167" formatCode="[$$-409]#,##0.0_ ;[Red]\-[$$-409]#,##0.0\ "/>
    <numFmt numFmtId="168" formatCode="[$$-409]#,##0.00_ ;[Red]\-[$$-409]#,##0.00\ "/>
    <numFmt numFmtId="169" formatCode="#,##0.0;[Red]\-#,##0.0"/>
    <numFmt numFmtId="170" formatCode="0.0"/>
    <numFmt numFmtId="171" formatCode="0.000%"/>
    <numFmt numFmtId="172" formatCode="[$$-409]#,##0_ ;[Red]\-[$$-409]#,##0\ "/>
  </numFmts>
  <fonts count="61">
    <font>
      <sz val="10"/>
      <name val="MS Sans Serif"/>
    </font>
    <font>
      <sz val="11"/>
      <color theme="1"/>
      <name val="Calibri"/>
      <family val="2"/>
      <charset val="204"/>
      <scheme val="minor"/>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i/>
      <sz val="11"/>
      <color theme="1"/>
      <name val="Montserrat"/>
      <charset val="204"/>
    </font>
    <font>
      <i/>
      <sz val="14"/>
      <color theme="5" tint="-0.499984740745262"/>
      <name val="Montserrat"/>
      <charset val="204"/>
    </font>
    <font>
      <b/>
      <i/>
      <sz val="14"/>
      <color rgb="FFFF0000"/>
      <name val="Montserrat"/>
      <charset val="204"/>
    </font>
    <font>
      <i/>
      <sz val="11"/>
      <color theme="1"/>
      <name val="Montserrat"/>
    </font>
    <font>
      <i/>
      <sz val="14"/>
      <color theme="1"/>
      <name val="Montserrat"/>
      <charset val="204"/>
    </font>
    <font>
      <sz val="7"/>
      <color theme="1"/>
      <name val="Montserrat"/>
    </font>
    <font>
      <sz val="12"/>
      <color theme="5" tint="-0.499984740745262"/>
      <name val="Montserrat"/>
      <charset val="204"/>
    </font>
    <font>
      <sz val="10"/>
      <name val="MS Sans Serif"/>
      <family val="2"/>
      <charset val="204"/>
    </font>
    <font>
      <i/>
      <sz val="9"/>
      <color theme="1"/>
      <name val="Montserrat"/>
      <charset val="204"/>
    </font>
    <font>
      <i/>
      <sz val="12"/>
      <color theme="5" tint="-0.499984740745262"/>
      <name val="Montserrat"/>
      <charset val="204"/>
    </font>
    <font>
      <i/>
      <sz val="11"/>
      <color theme="5" tint="-0.499984740745262"/>
      <name val="Montserrat"/>
      <charset val="204"/>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i/>
      <sz val="14"/>
      <color theme="5" tint="-0.499984740745262"/>
      <name val="Montserrat"/>
    </font>
    <font>
      <b/>
      <i/>
      <sz val="14"/>
      <color rgb="FFFF0000"/>
      <name val="Montserrat"/>
    </font>
    <font>
      <i/>
      <sz val="14"/>
      <color theme="1"/>
      <name val="Montserrat"/>
    </font>
    <font>
      <sz val="13"/>
      <color theme="5" tint="-0.499984740745262"/>
      <name val="Montserrat"/>
    </font>
    <font>
      <i/>
      <sz val="12"/>
      <color theme="5" tint="-0.499984740745262"/>
      <name val="Montserrat"/>
    </font>
    <font>
      <sz val="10"/>
      <name val="TimesET"/>
      <charset val="204"/>
    </font>
    <font>
      <sz val="16"/>
      <name val="TimesET"/>
      <charset val="204"/>
    </font>
    <font>
      <sz val="24"/>
      <name val="TimesET"/>
      <charset val="204"/>
    </font>
    <font>
      <b/>
      <i/>
      <sz val="22"/>
      <name val="TimesET"/>
      <charset val="204"/>
    </font>
    <font>
      <b/>
      <sz val="28"/>
      <name val="TimesET"/>
      <charset val="204"/>
    </font>
    <font>
      <b/>
      <sz val="26"/>
      <name val="Arial"/>
      <family val="2"/>
      <charset val="204"/>
    </font>
    <font>
      <sz val="12"/>
      <name val="Arial"/>
      <family val="2"/>
      <charset val="204"/>
    </font>
    <font>
      <b/>
      <sz val="14"/>
      <name val="Arial"/>
      <family val="2"/>
      <charset val="204"/>
    </font>
    <font>
      <sz val="14"/>
      <name val="Arial"/>
      <family val="2"/>
      <charset val="204"/>
    </font>
    <font>
      <b/>
      <sz val="12"/>
      <name val="Arial"/>
      <family val="2"/>
      <charset val="204"/>
    </font>
    <font>
      <sz val="11"/>
      <name val="Arial"/>
      <family val="2"/>
      <charset val="204"/>
    </font>
    <font>
      <b/>
      <sz val="16"/>
      <name val="Arial"/>
      <family val="2"/>
      <charset val="204"/>
    </font>
    <font>
      <b/>
      <sz val="18"/>
      <name val="Arial"/>
      <family val="2"/>
      <charset val="204"/>
    </font>
    <font>
      <sz val="10"/>
      <name val="Arial"/>
      <family val="2"/>
      <charset val="204"/>
    </font>
    <font>
      <sz val="14"/>
      <name val="TimesET"/>
      <charset val="204"/>
    </font>
    <font>
      <sz val="18"/>
      <name val="TimesET"/>
      <charset val="204"/>
    </font>
    <font>
      <b/>
      <i/>
      <sz val="14"/>
      <name val="Arial"/>
      <family val="2"/>
      <charset val="204"/>
    </font>
    <font>
      <sz val="16"/>
      <name val="Arial"/>
      <family val="2"/>
      <charset val="204"/>
    </font>
    <font>
      <b/>
      <i/>
      <sz val="12"/>
      <name val="Arial"/>
      <family val="2"/>
      <charset val="204"/>
    </font>
    <font>
      <sz val="18"/>
      <color rgb="FF222222"/>
      <name val="Segoe UI"/>
      <family val="2"/>
      <charset val="204"/>
    </font>
    <font>
      <u/>
      <sz val="10"/>
      <color indexed="12"/>
      <name val="MS Sans Serif"/>
      <family val="2"/>
      <charset val="204"/>
    </font>
    <font>
      <b/>
      <sz val="10"/>
      <name val="MS Sans Serif"/>
      <charset val="204"/>
    </font>
  </fonts>
  <fills count="2">
    <fill>
      <patternFill patternType="none"/>
    </fill>
    <fill>
      <patternFill patternType="gray125"/>
    </fill>
  </fills>
  <borders count="71">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top style="double">
        <color indexed="64"/>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indexed="64"/>
      </left>
      <right style="thin">
        <color indexed="64"/>
      </right>
      <top style="double">
        <color indexed="64"/>
      </top>
      <bottom style="thin">
        <color indexed="64"/>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style="thin">
        <color indexed="64"/>
      </bottom>
      <diagonal/>
    </border>
    <border>
      <left/>
      <right/>
      <top/>
      <bottom style="thin">
        <color indexed="64"/>
      </bottom>
      <diagonal/>
    </border>
    <border>
      <left/>
      <right style="thin">
        <color auto="1"/>
      </right>
      <top/>
      <bottom style="thin">
        <color auto="1"/>
      </bottom>
      <diagonal/>
    </border>
    <border>
      <left style="double">
        <color auto="1"/>
      </left>
      <right/>
      <top style="thin">
        <color auto="1"/>
      </top>
      <bottom/>
      <diagonal/>
    </border>
    <border>
      <left/>
      <right/>
      <top style="thin">
        <color auto="1"/>
      </top>
      <bottom/>
      <diagonal/>
    </border>
    <border>
      <left/>
      <right style="thin">
        <color auto="1"/>
      </right>
      <top style="thin">
        <color auto="1"/>
      </top>
      <bottom/>
      <diagonal/>
    </border>
    <border>
      <left style="double">
        <color auto="1"/>
      </left>
      <right/>
      <top/>
      <bottom style="double">
        <color auto="1"/>
      </bottom>
      <diagonal/>
    </border>
    <border>
      <left/>
      <right/>
      <top/>
      <bottom style="double">
        <color auto="1"/>
      </bottom>
      <diagonal/>
    </border>
    <border>
      <left/>
      <right style="thin">
        <color auto="1"/>
      </right>
      <top/>
      <bottom style="double">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thin">
        <color auto="1"/>
      </left>
      <right style="thin">
        <color auto="1"/>
      </right>
      <top/>
      <bottom style="thin">
        <color auto="1"/>
      </bottom>
      <diagonal/>
    </border>
    <border>
      <left style="thin">
        <color auto="1"/>
      </left>
      <right style="double">
        <color auto="1"/>
      </right>
      <top/>
      <bottom style="thin">
        <color auto="1"/>
      </bottom>
      <diagonal/>
    </border>
    <border>
      <left style="double">
        <color auto="1"/>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double">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auto="1"/>
      </left>
      <right style="double">
        <color auto="1"/>
      </right>
      <top style="double">
        <color auto="1"/>
      </top>
      <bottom style="double">
        <color auto="1"/>
      </bottom>
      <diagonal/>
    </border>
    <border>
      <left style="thin">
        <color auto="1"/>
      </left>
      <right/>
      <top style="thin">
        <color auto="1"/>
      </top>
      <bottom/>
      <diagonal/>
    </border>
    <border>
      <left/>
      <right style="double">
        <color auto="1"/>
      </right>
      <top style="thin">
        <color auto="1"/>
      </top>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s>
  <cellStyleXfs count="7">
    <xf numFmtId="0" fontId="0" fillId="0" borderId="0"/>
    <xf numFmtId="40" fontId="24" fillId="0" borderId="0" applyFont="0" applyFill="0" applyBorder="0" applyAlignment="0" applyProtection="0"/>
    <xf numFmtId="9" fontId="24" fillId="0" borderId="0" applyFont="0" applyFill="0" applyBorder="0" applyAlignment="0" applyProtection="0"/>
    <xf numFmtId="0" fontId="2" fillId="0" borderId="0"/>
    <xf numFmtId="0" fontId="59" fillId="0" borderId="0" applyNumberFormat="0" applyFill="0" applyBorder="0" applyAlignment="0" applyProtection="0">
      <alignment vertical="top"/>
      <protection locked="0"/>
    </xf>
    <xf numFmtId="0" fontId="24" fillId="0" borderId="0"/>
    <xf numFmtId="0" fontId="1" fillId="0" borderId="0"/>
  </cellStyleXfs>
  <cellXfs count="643">
    <xf numFmtId="0" fontId="0" fillId="0" borderId="0" xfId="0"/>
    <xf numFmtId="0" fontId="3" fillId="0" borderId="0" xfId="3" applyFont="1" applyAlignment="1">
      <alignment horizontal="left" vertical="center"/>
    </xf>
    <xf numFmtId="0" fontId="3" fillId="0" borderId="0" xfId="0" applyFont="1" applyAlignment="1">
      <alignment horizontal="left" vertical="center"/>
    </xf>
    <xf numFmtId="0" fontId="4" fillId="0" borderId="0" xfId="3" applyFont="1" applyAlignment="1">
      <alignment horizontal="left" vertical="center"/>
    </xf>
    <xf numFmtId="0" fontId="4" fillId="0" borderId="0" xfId="3" applyFont="1" applyAlignment="1">
      <alignment horizontal="center" vertical="center"/>
    </xf>
    <xf numFmtId="0" fontId="5" fillId="0" borderId="0" xfId="3" applyFont="1" applyAlignment="1">
      <alignment horizontal="left" vertical="center"/>
    </xf>
    <xf numFmtId="0" fontId="6" fillId="0" borderId="0" xfId="3" applyFont="1" applyAlignment="1">
      <alignment horizontal="left" vertical="center"/>
    </xf>
    <xf numFmtId="14" fontId="3" fillId="0" borderId="0" xfId="3" applyNumberFormat="1" applyFont="1" applyAlignment="1">
      <alignment horizontal="left" vertical="center"/>
    </xf>
    <xf numFmtId="0" fontId="7" fillId="0" borderId="0" xfId="3" applyFont="1" applyAlignment="1">
      <alignment horizontal="left" vertical="center"/>
    </xf>
    <xf numFmtId="0" fontId="8" fillId="0" borderId="0" xfId="3" applyFont="1" applyAlignment="1">
      <alignment horizontal="left" vertical="center"/>
    </xf>
    <xf numFmtId="14" fontId="8" fillId="0" borderId="0" xfId="3" applyNumberFormat="1" applyFont="1" applyAlignment="1">
      <alignment horizontal="left" vertical="center"/>
    </xf>
    <xf numFmtId="0" fontId="9" fillId="0" borderId="0" xfId="3" applyFont="1" applyAlignment="1">
      <alignment horizontal="center" vertical="center"/>
    </xf>
    <xf numFmtId="0" fontId="13" fillId="0" borderId="1" xfId="3" applyFont="1" applyBorder="1" applyAlignment="1">
      <alignment horizontal="left" vertical="center" wrapText="1"/>
    </xf>
    <xf numFmtId="0" fontId="3" fillId="0" borderId="0" xfId="3" applyFont="1" applyAlignment="1">
      <alignment horizontal="left" vertical="center" wrapText="1"/>
    </xf>
    <xf numFmtId="0" fontId="13" fillId="0" borderId="5" xfId="3" applyFont="1" applyBorder="1" applyAlignment="1">
      <alignment horizontal="left" vertical="center" wrapText="1"/>
    </xf>
    <xf numFmtId="0" fontId="14" fillId="0" borderId="5" xfId="3" applyFont="1" applyBorder="1" applyAlignment="1">
      <alignment horizontal="left" vertical="center" wrapText="1"/>
    </xf>
    <xf numFmtId="0" fontId="13" fillId="0" borderId="9" xfId="3" applyFont="1" applyBorder="1" applyAlignment="1">
      <alignment horizontal="left" vertical="center" wrapText="1"/>
    </xf>
    <xf numFmtId="0" fontId="16" fillId="0" borderId="5" xfId="3" applyFont="1" applyBorder="1" applyAlignment="1">
      <alignment horizontal="center" vertical="center" wrapText="1"/>
    </xf>
    <xf numFmtId="0" fontId="17" fillId="0" borderId="5" xfId="3" applyFont="1" applyBorder="1" applyAlignment="1">
      <alignment horizontal="center" vertical="center" wrapText="1"/>
    </xf>
    <xf numFmtId="0" fontId="18" fillId="0" borderId="5"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19" fillId="0" borderId="5" xfId="3" applyFont="1" applyBorder="1" applyAlignment="1">
      <alignment horizontal="center" vertical="center" wrapText="1"/>
    </xf>
    <xf numFmtId="0" fontId="20" fillId="0" borderId="0" xfId="3" applyFont="1" applyAlignment="1">
      <alignment horizontal="left" vertical="center" wrapText="1"/>
    </xf>
    <xf numFmtId="0" fontId="3" fillId="0" borderId="0" xfId="3" applyFont="1" applyAlignment="1">
      <alignment horizontal="left" vertical="top" wrapText="1"/>
    </xf>
    <xf numFmtId="0" fontId="13" fillId="0" borderId="5" xfId="3" applyFont="1" applyBorder="1" applyAlignment="1">
      <alignment vertical="center" wrapText="1"/>
    </xf>
    <xf numFmtId="0" fontId="14" fillId="0" borderId="5" xfId="3" applyFont="1" applyBorder="1" applyAlignment="1">
      <alignment vertical="center" wrapText="1"/>
    </xf>
    <xf numFmtId="0" fontId="17" fillId="0" borderId="38" xfId="3" applyFont="1" applyBorder="1" applyAlignment="1">
      <alignment horizontal="center" vertical="center" wrapText="1"/>
    </xf>
    <xf numFmtId="0" fontId="26" fillId="0" borderId="38" xfId="3" applyFont="1" applyBorder="1" applyAlignment="1">
      <alignment horizontal="center" vertical="center" wrapText="1"/>
    </xf>
    <xf numFmtId="0" fontId="3" fillId="0" borderId="0" xfId="3" applyFont="1" applyAlignment="1">
      <alignment horizontal="center" vertical="center"/>
    </xf>
    <xf numFmtId="0" fontId="28" fillId="0" borderId="0" xfId="3" applyFont="1" applyAlignment="1">
      <alignment horizontal="left" vertical="center"/>
    </xf>
    <xf numFmtId="14" fontId="28" fillId="0" borderId="0" xfId="3" applyNumberFormat="1" applyFont="1" applyAlignment="1">
      <alignment horizontal="left" vertical="center"/>
    </xf>
    <xf numFmtId="0" fontId="32" fillId="0" borderId="5" xfId="3" applyFont="1" applyBorder="1" applyAlignment="1">
      <alignment horizontal="left" vertical="center" wrapText="1"/>
    </xf>
    <xf numFmtId="0" fontId="34" fillId="0" borderId="5" xfId="3" applyFont="1" applyBorder="1" applyAlignment="1">
      <alignment horizontal="center" vertical="center" wrapText="1"/>
    </xf>
    <xf numFmtId="0" fontId="35" fillId="0" borderId="5" xfId="3" applyFont="1" applyBorder="1" applyAlignment="1">
      <alignment horizontal="center" vertical="center" wrapText="1"/>
    </xf>
    <xf numFmtId="0" fontId="32" fillId="0" borderId="5" xfId="3" applyFont="1" applyBorder="1" applyAlignment="1">
      <alignment vertical="center" wrapText="1"/>
    </xf>
    <xf numFmtId="0" fontId="38" fillId="0" borderId="38" xfId="3" applyFont="1" applyBorder="1" applyAlignment="1">
      <alignment horizontal="center" vertical="center" wrapText="1"/>
    </xf>
    <xf numFmtId="0" fontId="39" fillId="0" borderId="0" xfId="5" applyFont="1" applyAlignment="1">
      <alignment vertical="top"/>
    </xf>
    <xf numFmtId="0" fontId="40" fillId="0" borderId="0" xfId="5" applyFont="1" applyAlignment="1">
      <alignment horizontal="right"/>
    </xf>
    <xf numFmtId="0" fontId="39" fillId="0" borderId="0" xfId="5" applyFont="1"/>
    <xf numFmtId="40" fontId="39" fillId="0" borderId="0" xfId="5" applyNumberFormat="1" applyFont="1"/>
    <xf numFmtId="0" fontId="45" fillId="0" borderId="20" xfId="6" applyFont="1" applyBorder="1" applyAlignment="1">
      <alignment vertical="center" wrapText="1"/>
    </xf>
    <xf numFmtId="0" fontId="45" fillId="0" borderId="29" xfId="6" applyFont="1" applyBorder="1" applyAlignment="1">
      <alignment vertical="center" wrapText="1"/>
    </xf>
    <xf numFmtId="0" fontId="45" fillId="0" borderId="38" xfId="6" applyFont="1" applyBorder="1" applyAlignment="1">
      <alignment vertical="center" wrapText="1"/>
    </xf>
    <xf numFmtId="0" fontId="48" fillId="0" borderId="44" xfId="6" applyFont="1" applyBorder="1" applyAlignment="1">
      <alignment vertical="center" wrapText="1"/>
    </xf>
    <xf numFmtId="0" fontId="49" fillId="0" borderId="29" xfId="6" applyFont="1" applyBorder="1" applyAlignment="1">
      <alignment horizontal="left" vertical="center" wrapText="1"/>
    </xf>
    <xf numFmtId="0" fontId="49" fillId="0" borderId="58" xfId="6" applyFont="1" applyBorder="1" applyAlignment="1">
      <alignment horizontal="left" vertical="center" wrapText="1"/>
    </xf>
    <xf numFmtId="0" fontId="48" fillId="0" borderId="15" xfId="6" applyFont="1" applyBorder="1" applyAlignment="1">
      <alignment vertical="center" wrapText="1"/>
    </xf>
    <xf numFmtId="0" fontId="45" fillId="0" borderId="29" xfId="6" applyFont="1" applyBorder="1" applyAlignment="1">
      <alignment horizontal="left" vertical="center" wrapText="1"/>
    </xf>
    <xf numFmtId="0" fontId="39" fillId="0" borderId="0" xfId="5" applyFont="1" applyAlignment="1">
      <alignment horizontal="left" vertical="center"/>
    </xf>
    <xf numFmtId="38" fontId="53" fillId="0" borderId="0" xfId="5" applyNumberFormat="1" applyFont="1"/>
    <xf numFmtId="166" fontId="53" fillId="0" borderId="0" xfId="5" applyNumberFormat="1" applyFont="1"/>
    <xf numFmtId="167" fontId="54" fillId="0" borderId="0" xfId="5" applyNumberFormat="1" applyFont="1"/>
    <xf numFmtId="0" fontId="54" fillId="0" borderId="0" xfId="5" applyFont="1"/>
    <xf numFmtId="0" fontId="53" fillId="0" borderId="0" xfId="5" applyFont="1"/>
    <xf numFmtId="2" fontId="53" fillId="0" borderId="0" xfId="5" applyNumberFormat="1" applyFont="1"/>
    <xf numFmtId="0" fontId="40" fillId="0" borderId="0" xfId="5" applyFont="1"/>
    <xf numFmtId="40" fontId="39" fillId="0" borderId="0" xfId="1" applyFont="1"/>
    <xf numFmtId="0" fontId="47" fillId="0" borderId="29" xfId="6" applyFont="1" applyBorder="1" applyAlignment="1">
      <alignment horizontal="center" vertical="center" wrapText="1"/>
    </xf>
    <xf numFmtId="0" fontId="47" fillId="0" borderId="11" xfId="6" applyFont="1" applyBorder="1" applyAlignment="1">
      <alignment horizontal="center" vertical="center" wrapText="1"/>
    </xf>
    <xf numFmtId="0" fontId="45" fillId="0" borderId="11" xfId="6" applyFont="1" applyBorder="1" applyAlignment="1">
      <alignment horizontal="center" vertical="center" wrapText="1"/>
    </xf>
    <xf numFmtId="0" fontId="45" fillId="0" borderId="30" xfId="6" applyFont="1" applyBorder="1" applyAlignment="1">
      <alignment horizontal="center" vertical="center" wrapText="1"/>
    </xf>
    <xf numFmtId="0" fontId="49" fillId="0" borderId="29" xfId="6" applyFont="1" applyBorder="1" applyAlignment="1">
      <alignment horizontal="right" vertical="center" wrapText="1"/>
    </xf>
    <xf numFmtId="40" fontId="45" fillId="0" borderId="11" xfId="1" applyFont="1" applyBorder="1" applyAlignment="1">
      <alignment horizontal="center" vertical="center" wrapText="1"/>
    </xf>
    <xf numFmtId="4" fontId="45" fillId="0" borderId="11" xfId="6" applyNumberFormat="1" applyFont="1" applyBorder="1" applyAlignment="1">
      <alignment horizontal="center" vertical="center" wrapText="1"/>
    </xf>
    <xf numFmtId="40" fontId="48" fillId="0" borderId="11" xfId="1" applyFont="1" applyBorder="1" applyAlignment="1">
      <alignment horizontal="center" vertical="center" wrapText="1"/>
    </xf>
    <xf numFmtId="0" fontId="47" fillId="0" borderId="30" xfId="6" applyFont="1" applyBorder="1" applyAlignment="1">
      <alignment horizontal="center" vertical="center" wrapText="1"/>
    </xf>
    <xf numFmtId="38" fontId="45" fillId="0" borderId="11" xfId="1" applyNumberFormat="1" applyFont="1" applyBorder="1" applyAlignment="1">
      <alignment horizontal="center" vertical="center" wrapText="1"/>
    </xf>
    <xf numFmtId="0" fontId="49" fillId="0" borderId="38" xfId="6" applyFont="1" applyBorder="1" applyAlignment="1">
      <alignment horizontal="right" vertical="center" wrapText="1"/>
    </xf>
    <xf numFmtId="0" fontId="45" fillId="0" borderId="11" xfId="6" applyFont="1" applyBorder="1" applyAlignment="1">
      <alignment vertical="center" wrapText="1"/>
    </xf>
    <xf numFmtId="0" fontId="45" fillId="0" borderId="30" xfId="6" applyFont="1" applyBorder="1" applyAlignment="1">
      <alignment vertical="center" wrapText="1"/>
    </xf>
    <xf numFmtId="38" fontId="47" fillId="0" borderId="11" xfId="1" applyNumberFormat="1" applyFont="1" applyBorder="1" applyAlignment="1">
      <alignment vertical="center" wrapText="1"/>
    </xf>
    <xf numFmtId="38" fontId="47" fillId="0" borderId="30" xfId="1" applyNumberFormat="1" applyFont="1" applyBorder="1" applyAlignment="1">
      <alignment vertical="center" wrapText="1"/>
    </xf>
    <xf numFmtId="38" fontId="47" fillId="0" borderId="11" xfId="1" applyNumberFormat="1" applyFont="1" applyBorder="1" applyAlignment="1">
      <alignment horizontal="center" vertical="center" wrapText="1"/>
    </xf>
    <xf numFmtId="169" fontId="47" fillId="0" borderId="11" xfId="1" applyNumberFormat="1" applyFont="1" applyBorder="1" applyAlignment="1">
      <alignment horizontal="center" vertical="center" wrapText="1"/>
    </xf>
    <xf numFmtId="40" fontId="47" fillId="0" borderId="11" xfId="1" applyFont="1" applyBorder="1" applyAlignment="1">
      <alignment horizontal="center" vertical="center" wrapText="1"/>
    </xf>
    <xf numFmtId="170" fontId="47" fillId="0" borderId="11" xfId="6" applyNumberFormat="1" applyFont="1" applyBorder="1" applyAlignment="1">
      <alignment horizontal="center" vertical="center" wrapText="1"/>
    </xf>
    <xf numFmtId="0" fontId="47" fillId="0" borderId="29" xfId="6" applyFont="1" applyBorder="1" applyAlignment="1">
      <alignment horizontal="right" vertical="center" wrapText="1"/>
    </xf>
    <xf numFmtId="0" fontId="47" fillId="0" borderId="38" xfId="6" applyFont="1" applyBorder="1" applyAlignment="1">
      <alignment horizontal="right" vertical="center" wrapText="1"/>
    </xf>
    <xf numFmtId="0" fontId="47" fillId="0" borderId="20" xfId="6" applyFont="1" applyBorder="1" applyAlignment="1">
      <alignment horizontal="center" vertical="center" wrapText="1"/>
    </xf>
    <xf numFmtId="0" fontId="47" fillId="0" borderId="56" xfId="6" applyFont="1" applyBorder="1" applyAlignment="1">
      <alignment horizontal="center" vertical="center" wrapText="1"/>
    </xf>
    <xf numFmtId="0" fontId="47" fillId="0" borderId="57" xfId="6" applyFont="1" applyBorder="1" applyAlignment="1">
      <alignment horizontal="center" vertical="center" wrapText="1"/>
    </xf>
    <xf numFmtId="0" fontId="49" fillId="0" borderId="58" xfId="6" applyFont="1" applyBorder="1" applyAlignment="1">
      <alignment horizontal="right" vertical="center" wrapText="1"/>
    </xf>
    <xf numFmtId="0" fontId="49" fillId="0" borderId="20" xfId="6" applyFont="1" applyBorder="1" applyAlignment="1">
      <alignment horizontal="right" vertical="center" wrapText="1"/>
    </xf>
    <xf numFmtId="9" fontId="53" fillId="0" borderId="0" xfId="2" applyFont="1"/>
    <xf numFmtId="9" fontId="45" fillId="0" borderId="11" xfId="2" applyFont="1" applyBorder="1" applyAlignment="1">
      <alignment vertical="center" wrapText="1"/>
    </xf>
    <xf numFmtId="10" fontId="45" fillId="0" borderId="11" xfId="1" applyNumberFormat="1" applyFont="1" applyBorder="1" applyAlignment="1">
      <alignment vertical="center" wrapText="1"/>
    </xf>
    <xf numFmtId="40" fontId="45" fillId="0" borderId="11" xfId="1" applyFont="1" applyBorder="1" applyAlignment="1">
      <alignment vertical="center" wrapText="1"/>
    </xf>
    <xf numFmtId="40" fontId="45" fillId="0" borderId="30" xfId="1" applyFont="1" applyBorder="1" applyAlignment="1">
      <alignment vertical="center" wrapText="1"/>
    </xf>
    <xf numFmtId="40" fontId="45" fillId="0" borderId="11" xfId="2" applyNumberFormat="1" applyFont="1" applyBorder="1" applyAlignment="1">
      <alignment vertical="center" wrapText="1"/>
    </xf>
    <xf numFmtId="2" fontId="45" fillId="0" borderId="11" xfId="2" applyNumberFormat="1" applyFont="1" applyBorder="1" applyAlignment="1">
      <alignment vertical="center" wrapText="1"/>
    </xf>
    <xf numFmtId="170" fontId="45" fillId="0" borderId="11" xfId="2" applyNumberFormat="1" applyFont="1" applyBorder="1" applyAlignment="1">
      <alignment vertical="center" wrapText="1"/>
    </xf>
    <xf numFmtId="0" fontId="49" fillId="0" borderId="62" xfId="6" applyFont="1" applyBorder="1" applyAlignment="1">
      <alignment horizontal="right" vertical="center" wrapText="1"/>
    </xf>
    <xf numFmtId="0" fontId="45" fillId="0" borderId="56" xfId="6" applyFont="1" applyBorder="1" applyAlignment="1">
      <alignment horizontal="center" vertical="center" wrapText="1"/>
    </xf>
    <xf numFmtId="0" fontId="45" fillId="0" borderId="57" xfId="6" applyFont="1" applyBorder="1" applyAlignment="1">
      <alignment horizontal="center" vertical="center" wrapText="1"/>
    </xf>
    <xf numFmtId="2" fontId="45" fillId="0" borderId="11" xfId="6" applyNumberFormat="1" applyFont="1" applyBorder="1" applyAlignment="1">
      <alignment horizontal="center" vertical="center" wrapText="1"/>
    </xf>
    <xf numFmtId="170" fontId="45" fillId="0" borderId="11" xfId="6" applyNumberFormat="1" applyFont="1" applyBorder="1" applyAlignment="1">
      <alignment horizontal="center" vertical="center" wrapText="1"/>
    </xf>
    <xf numFmtId="0" fontId="47" fillId="0" borderId="11" xfId="6" applyFont="1" applyBorder="1" applyAlignment="1">
      <alignment vertical="center" wrapText="1"/>
    </xf>
    <xf numFmtId="0" fontId="45" fillId="0" borderId="29" xfId="6" applyFont="1" applyBorder="1" applyAlignment="1">
      <alignment horizontal="right" vertical="center" wrapText="1"/>
    </xf>
    <xf numFmtId="0" fontId="45" fillId="0" borderId="38" xfId="6" applyFont="1" applyBorder="1" applyAlignment="1">
      <alignment horizontal="right" vertical="center" wrapText="1"/>
    </xf>
    <xf numFmtId="0" fontId="45" fillId="0" borderId="20" xfId="6" applyFont="1" applyBorder="1" applyAlignment="1">
      <alignment horizontal="right" vertical="center" wrapText="1"/>
    </xf>
    <xf numFmtId="0" fontId="45" fillId="0" borderId="58" xfId="6" applyFont="1" applyBorder="1" applyAlignment="1">
      <alignment horizontal="right" vertical="center" wrapText="1"/>
    </xf>
    <xf numFmtId="0" fontId="45" fillId="0" borderId="20" xfId="6" applyFont="1" applyBorder="1" applyAlignment="1">
      <alignment horizontal="left" vertical="center" wrapText="1"/>
    </xf>
    <xf numFmtId="0" fontId="45" fillId="0" borderId="62" xfId="6" applyFont="1" applyBorder="1" applyAlignment="1">
      <alignment horizontal="left" vertical="center" wrapText="1"/>
    </xf>
    <xf numFmtId="0" fontId="45" fillId="0" borderId="63" xfId="6" applyFont="1" applyBorder="1" applyAlignment="1">
      <alignment horizontal="left" vertical="center" wrapText="1"/>
    </xf>
    <xf numFmtId="0" fontId="45" fillId="0" borderId="20" xfId="6" applyFont="1" applyBorder="1" applyAlignment="1">
      <alignment horizontal="center" vertical="center" wrapText="1"/>
    </xf>
    <xf numFmtId="0" fontId="39" fillId="0" borderId="0" xfId="5" applyFont="1" applyAlignment="1">
      <alignment horizontal="left"/>
    </xf>
    <xf numFmtId="0" fontId="45" fillId="0" borderId="29" xfId="6" applyFont="1" applyBorder="1" applyAlignment="1">
      <alignment horizontal="center" vertical="center" wrapText="1"/>
    </xf>
    <xf numFmtId="165" fontId="49" fillId="0" borderId="11" xfId="1" applyNumberFormat="1" applyFont="1" applyBorder="1" applyAlignment="1">
      <alignment horizontal="center" vertical="center" wrapText="1"/>
    </xf>
    <xf numFmtId="9" fontId="45" fillId="0" borderId="11" xfId="2" applyFont="1" applyBorder="1" applyAlignment="1">
      <alignment horizontal="center" vertical="center" wrapText="1"/>
    </xf>
    <xf numFmtId="9" fontId="45" fillId="0" borderId="39" xfId="2" applyFont="1" applyBorder="1" applyAlignment="1">
      <alignment horizontal="center" vertical="center" wrapText="1"/>
    </xf>
    <xf numFmtId="0" fontId="45" fillId="0" borderId="38" xfId="6" applyFont="1" applyBorder="1" applyAlignment="1">
      <alignment horizontal="left" vertical="center" wrapText="1"/>
    </xf>
    <xf numFmtId="0" fontId="45" fillId="0" borderId="58" xfId="6" applyFont="1" applyBorder="1" applyAlignment="1">
      <alignment horizontal="left" vertical="center" wrapText="1"/>
    </xf>
    <xf numFmtId="38" fontId="47" fillId="0" borderId="30" xfId="1" applyNumberFormat="1" applyFont="1" applyBorder="1" applyAlignment="1">
      <alignment horizontal="center" vertical="center" wrapText="1"/>
    </xf>
    <xf numFmtId="38" fontId="49" fillId="0" borderId="11" xfId="1" applyNumberFormat="1" applyFont="1" applyBorder="1" applyAlignment="1">
      <alignment horizontal="center" vertical="center" wrapText="1"/>
    </xf>
    <xf numFmtId="38" fontId="49" fillId="0" borderId="30" xfId="1" applyNumberFormat="1" applyFont="1" applyBorder="1" applyAlignment="1">
      <alignment horizontal="center" vertical="center" wrapText="1"/>
    </xf>
    <xf numFmtId="0" fontId="59" fillId="0" borderId="0" xfId="4" applyAlignment="1" applyProtection="1"/>
    <xf numFmtId="0" fontId="45" fillId="0" borderId="38" xfId="6" applyFont="1" applyBorder="1" applyAlignment="1">
      <alignment horizontal="center" vertical="center" wrapText="1"/>
    </xf>
    <xf numFmtId="0" fontId="45" fillId="0" borderId="10" xfId="6" applyFont="1" applyBorder="1" applyAlignment="1">
      <alignment horizontal="left" vertical="center" wrapText="1"/>
    </xf>
    <xf numFmtId="0" fontId="45" fillId="0" borderId="10" xfId="6" applyFont="1" applyBorder="1" applyAlignment="1">
      <alignment horizontal="center" vertical="center" wrapText="1"/>
    </xf>
    <xf numFmtId="0" fontId="39" fillId="0" borderId="0" xfId="5" applyFont="1" applyAlignment="1">
      <alignment horizontal="center" vertical="top"/>
    </xf>
    <xf numFmtId="0" fontId="0" fillId="0" borderId="0" xfId="0" applyAlignment="1">
      <alignment vertical="top"/>
    </xf>
    <xf numFmtId="0" fontId="60" fillId="0" borderId="0" xfId="0" applyFont="1" applyAlignment="1">
      <alignment vertical="top"/>
    </xf>
    <xf numFmtId="0" fontId="60" fillId="0" borderId="0" xfId="0" applyFont="1"/>
    <xf numFmtId="0" fontId="4" fillId="0" borderId="20" xfId="3" applyFont="1" applyBorder="1" applyAlignment="1">
      <alignment horizontal="center" vertical="center" wrapText="1"/>
    </xf>
    <xf numFmtId="0" fontId="4" fillId="0" borderId="21" xfId="3" applyFont="1" applyBorder="1" applyAlignment="1">
      <alignment horizontal="center" vertical="center" wrapText="1"/>
    </xf>
    <xf numFmtId="0" fontId="4" fillId="0" borderId="22" xfId="3" applyFont="1" applyBorder="1" applyAlignment="1">
      <alignment horizontal="center" vertical="center" wrapText="1"/>
    </xf>
    <xf numFmtId="0" fontId="4" fillId="0" borderId="17" xfId="3" applyFont="1" applyBorder="1" applyAlignment="1">
      <alignment horizontal="center" vertical="center" wrapText="1"/>
    </xf>
    <xf numFmtId="0" fontId="17" fillId="0" borderId="36" xfId="3" applyFont="1" applyBorder="1" applyAlignment="1">
      <alignment horizontal="left" vertical="center" wrapText="1"/>
    </xf>
    <xf numFmtId="0" fontId="17" fillId="0" borderId="37" xfId="3" applyFont="1" applyBorder="1" applyAlignment="1">
      <alignment horizontal="left" vertical="center" wrapText="1"/>
    </xf>
    <xf numFmtId="38" fontId="25" fillId="0" borderId="36" xfId="1" applyNumberFormat="1" applyFont="1" applyBorder="1" applyAlignment="1">
      <alignment horizontal="left" vertical="center" wrapText="1"/>
    </xf>
    <xf numFmtId="38" fontId="25" fillId="0" borderId="34" xfId="1" applyNumberFormat="1" applyFont="1" applyBorder="1" applyAlignment="1">
      <alignment horizontal="left" vertical="center" wrapText="1"/>
    </xf>
    <xf numFmtId="38" fontId="25" fillId="0" borderId="37" xfId="1" applyNumberFormat="1" applyFont="1" applyBorder="1" applyAlignment="1">
      <alignment horizontal="left" vertical="center" wrapText="1"/>
    </xf>
    <xf numFmtId="0" fontId="27" fillId="0" borderId="39" xfId="3" applyFont="1" applyBorder="1" applyAlignment="1">
      <alignment horizontal="left" vertical="center" wrapText="1"/>
    </xf>
    <xf numFmtId="0" fontId="27" fillId="0" borderId="40" xfId="3" applyFont="1" applyBorder="1" applyAlignment="1">
      <alignment horizontal="left" vertical="center" wrapText="1"/>
    </xf>
    <xf numFmtId="0" fontId="21" fillId="0" borderId="39" xfId="3" applyFont="1" applyBorder="1" applyAlignment="1">
      <alignment horizontal="left" vertical="center" wrapText="1"/>
    </xf>
    <xf numFmtId="0" fontId="21" fillId="0" borderId="40" xfId="3" applyFont="1" applyBorder="1" applyAlignment="1">
      <alignment horizontal="left" vertical="center" wrapText="1"/>
    </xf>
    <xf numFmtId="38" fontId="21" fillId="0" borderId="33" xfId="1" applyNumberFormat="1" applyFont="1" applyBorder="1" applyAlignment="1">
      <alignment horizontal="center" vertical="center" wrapText="1"/>
    </xf>
    <xf numFmtId="38" fontId="21" fillId="0" borderId="34" xfId="1" applyNumberFormat="1" applyFont="1" applyBorder="1" applyAlignment="1">
      <alignment horizontal="center" vertical="center" wrapText="1"/>
    </xf>
    <xf numFmtId="38" fontId="21" fillId="0" borderId="37" xfId="1" applyNumberFormat="1" applyFont="1" applyBorder="1" applyAlignment="1">
      <alignment horizontal="center" vertical="center" wrapText="1"/>
    </xf>
    <xf numFmtId="0" fontId="13" fillId="0" borderId="14" xfId="3" applyFont="1" applyBorder="1" applyAlignment="1">
      <alignment horizontal="left" vertical="center" wrapText="1"/>
    </xf>
    <xf numFmtId="0" fontId="13" fillId="0" borderId="32" xfId="3" applyFont="1" applyBorder="1" applyAlignment="1">
      <alignment horizontal="left" vertical="center" wrapText="1"/>
    </xf>
    <xf numFmtId="0" fontId="3" fillId="0" borderId="15" xfId="3" applyFont="1" applyBorder="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4" fillId="0" borderId="5" xfId="3" applyFont="1" applyBorder="1" applyAlignment="1">
      <alignment horizontal="left" vertical="center" wrapText="1"/>
    </xf>
    <xf numFmtId="38" fontId="15" fillId="0" borderId="11" xfId="3" applyNumberFormat="1" applyFont="1" applyBorder="1" applyAlignment="1">
      <alignment horizontal="center" vertical="center" wrapText="1"/>
    </xf>
    <xf numFmtId="0" fontId="15" fillId="0" borderId="11" xfId="3" applyFont="1" applyBorder="1" applyAlignment="1">
      <alignment horizontal="center" vertical="center" wrapText="1"/>
    </xf>
    <xf numFmtId="0" fontId="15" fillId="0" borderId="30"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3" fillId="0" borderId="33" xfId="3" applyFont="1" applyBorder="1" applyAlignment="1">
      <alignment horizontal="left" vertical="center" wrapText="1"/>
    </xf>
    <xf numFmtId="0" fontId="3" fillId="0" borderId="34" xfId="3" applyFont="1" applyBorder="1" applyAlignment="1">
      <alignment horizontal="left" vertical="center" wrapText="1"/>
    </xf>
    <xf numFmtId="0" fontId="3" fillId="0" borderId="35" xfId="3" applyFont="1" applyBorder="1" applyAlignment="1">
      <alignment horizontal="left" vertical="center" wrapText="1"/>
    </xf>
    <xf numFmtId="38" fontId="3" fillId="0" borderId="36" xfId="3" applyNumberFormat="1" applyFont="1" applyBorder="1" applyAlignment="1">
      <alignment horizontal="center" vertical="center" wrapText="1"/>
    </xf>
    <xf numFmtId="38" fontId="3" fillId="0" borderId="34" xfId="3" applyNumberFormat="1" applyFont="1" applyBorder="1" applyAlignment="1">
      <alignment horizontal="center" vertical="center" wrapText="1"/>
    </xf>
    <xf numFmtId="38" fontId="3" fillId="0" borderId="37" xfId="3" applyNumberFormat="1" applyFont="1" applyBorder="1" applyAlignment="1">
      <alignment horizontal="center" vertical="center" wrapText="1"/>
    </xf>
    <xf numFmtId="0" fontId="4" fillId="0" borderId="29" xfId="3" applyFont="1" applyBorder="1" applyAlignment="1">
      <alignment horizontal="left" vertical="center" wrapText="1"/>
    </xf>
    <xf numFmtId="0" fontId="4" fillId="0" borderId="11" xfId="3" applyFont="1" applyBorder="1" applyAlignment="1">
      <alignment horizontal="left" vertical="center" wrapText="1"/>
    </xf>
    <xf numFmtId="38" fontId="3" fillId="0" borderId="18" xfId="3" applyNumberFormat="1" applyFont="1" applyBorder="1" applyAlignment="1">
      <alignment horizontal="center" vertical="center" wrapText="1"/>
    </xf>
    <xf numFmtId="38" fontId="3" fillId="0" borderId="16" xfId="3" applyNumberFormat="1" applyFont="1" applyBorder="1" applyAlignment="1">
      <alignment horizontal="center" vertical="center" wrapText="1"/>
    </xf>
    <xf numFmtId="38" fontId="3" fillId="0" borderId="19" xfId="3" applyNumberFormat="1" applyFont="1" applyBorder="1" applyAlignment="1">
      <alignment horizontal="center" vertical="center" wrapText="1"/>
    </xf>
    <xf numFmtId="0" fontId="4" fillId="0" borderId="20" xfId="3" applyFont="1" applyBorder="1" applyAlignment="1">
      <alignment horizontal="left" vertical="center" wrapText="1"/>
    </xf>
    <xf numFmtId="0" fontId="4" fillId="0" borderId="21" xfId="3" applyFont="1" applyBorder="1" applyAlignment="1">
      <alignment horizontal="left" vertical="center" wrapText="1"/>
    </xf>
    <xf numFmtId="38" fontId="15" fillId="0" borderId="21" xfId="3" applyNumberFormat="1" applyFont="1" applyBorder="1" applyAlignment="1">
      <alignment horizontal="center"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38" fontId="3" fillId="0" borderId="25" xfId="3" applyNumberFormat="1" applyFont="1" applyBorder="1" applyAlignment="1">
      <alignment horizontal="left" vertical="center" wrapText="1"/>
    </xf>
    <xf numFmtId="38" fontId="3" fillId="0" borderId="26" xfId="3" applyNumberFormat="1" applyFont="1" applyBorder="1" applyAlignment="1">
      <alignment horizontal="left" vertical="center" wrapText="1"/>
    </xf>
    <xf numFmtId="38" fontId="3" fillId="0" borderId="10" xfId="3" applyNumberFormat="1" applyFont="1" applyBorder="1" applyAlignment="1">
      <alignment horizontal="left" vertical="center" wrapText="1"/>
    </xf>
    <xf numFmtId="38" fontId="3" fillId="0" borderId="27" xfId="3" applyNumberFormat="1" applyFont="1" applyBorder="1" applyAlignment="1">
      <alignment horizontal="center" vertical="center" wrapText="1"/>
    </xf>
    <xf numFmtId="38" fontId="3" fillId="0" borderId="26" xfId="3" applyNumberFormat="1" applyFont="1" applyBorder="1" applyAlignment="1">
      <alignment horizontal="center" vertical="center" wrapText="1"/>
    </xf>
    <xf numFmtId="38" fontId="3" fillId="0" borderId="28" xfId="3" applyNumberFormat="1" applyFont="1" applyBorder="1" applyAlignment="1">
      <alignment horizontal="center" vertical="center" wrapText="1"/>
    </xf>
    <xf numFmtId="38" fontId="4" fillId="0" borderId="29" xfId="3" applyNumberFormat="1" applyFont="1" applyBorder="1" applyAlignment="1">
      <alignment horizontal="left" vertical="center" wrapText="1"/>
    </xf>
    <xf numFmtId="0" fontId="13" fillId="0" borderId="9" xfId="3" applyFont="1" applyBorder="1" applyAlignment="1">
      <alignment horizontal="left" vertical="center" wrapText="1"/>
    </xf>
    <xf numFmtId="0" fontId="13" fillId="0" borderId="14" xfId="3" applyFont="1" applyBorder="1" applyAlignment="1">
      <alignment horizontal="center" vertical="center" wrapText="1"/>
    </xf>
    <xf numFmtId="0" fontId="13" fillId="0" borderId="24" xfId="3" applyFont="1" applyBorder="1" applyAlignment="1">
      <alignment horizontal="center" vertical="center" wrapText="1"/>
    </xf>
    <xf numFmtId="0" fontId="13" fillId="0" borderId="32" xfId="3" applyFont="1" applyBorder="1" applyAlignment="1">
      <alignment horizontal="center" vertical="center" wrapText="1"/>
    </xf>
    <xf numFmtId="0" fontId="3" fillId="0" borderId="15" xfId="3" applyFont="1" applyBorder="1" applyAlignment="1">
      <alignment horizontal="left" vertical="center" wrapText="1"/>
    </xf>
    <xf numFmtId="0" fontId="3" fillId="0" borderId="16" xfId="3" applyFont="1" applyBorder="1" applyAlignment="1">
      <alignment horizontal="left" vertical="center" wrapText="1"/>
    </xf>
    <xf numFmtId="0" fontId="3" fillId="0" borderId="17" xfId="3" applyFont="1" applyBorder="1" applyAlignment="1">
      <alignment horizontal="left" vertical="center" wrapText="1"/>
    </xf>
    <xf numFmtId="164" fontId="3" fillId="0" borderId="6" xfId="2" applyNumberFormat="1" applyFont="1" applyBorder="1" applyAlignment="1">
      <alignment horizontal="center" vertical="center" wrapText="1"/>
    </xf>
    <xf numFmtId="164" fontId="3" fillId="0" borderId="7" xfId="2" applyNumberFormat="1" applyFont="1" applyBorder="1" applyAlignment="1">
      <alignment horizontal="center" vertical="center" wrapText="1"/>
    </xf>
    <xf numFmtId="164" fontId="3" fillId="0" borderId="8" xfId="2" applyNumberFormat="1" applyFont="1" applyBorder="1" applyAlignment="1">
      <alignment horizontal="center" vertical="center" wrapText="1"/>
    </xf>
    <xf numFmtId="164" fontId="15" fillId="0" borderId="5" xfId="2" applyNumberFormat="1" applyFont="1" applyBorder="1" applyAlignment="1">
      <alignment horizontal="center" vertical="center" wrapText="1"/>
    </xf>
    <xf numFmtId="38" fontId="3" fillId="0" borderId="6" xfId="3" applyNumberFormat="1" applyFont="1" applyBorder="1" applyAlignment="1">
      <alignment horizontal="center" vertical="center" wrapText="1"/>
    </xf>
    <xf numFmtId="38" fontId="3" fillId="0" borderId="7" xfId="3" applyNumberFormat="1" applyFont="1" applyBorder="1" applyAlignment="1">
      <alignment horizontal="center" vertical="center" wrapText="1"/>
    </xf>
    <xf numFmtId="38" fontId="3" fillId="0" borderId="8" xfId="3" applyNumberFormat="1" applyFont="1" applyBorder="1" applyAlignment="1">
      <alignment horizontal="center" vertical="center" wrapText="1"/>
    </xf>
    <xf numFmtId="38" fontId="15" fillId="0" borderId="5" xfId="3" applyNumberFormat="1" applyFont="1" applyBorder="1" applyAlignment="1">
      <alignment horizontal="center" vertical="center" wrapText="1"/>
    </xf>
    <xf numFmtId="0" fontId="15" fillId="0" borderId="5" xfId="3" applyFont="1" applyBorder="1" applyAlignment="1">
      <alignment horizontal="center" vertical="center" wrapText="1"/>
    </xf>
    <xf numFmtId="40" fontId="3" fillId="0" borderId="6" xfId="3" applyNumberFormat="1" applyFont="1" applyBorder="1" applyAlignment="1">
      <alignment horizontal="center" vertical="center" wrapText="1"/>
    </xf>
    <xf numFmtId="40" fontId="3" fillId="0" borderId="7" xfId="3" applyNumberFormat="1" applyFont="1" applyBorder="1" applyAlignment="1">
      <alignment horizontal="center" vertical="center" wrapText="1"/>
    </xf>
    <xf numFmtId="40" fontId="3" fillId="0" borderId="8" xfId="3" applyNumberFormat="1" applyFont="1" applyBorder="1" applyAlignment="1">
      <alignment horizontal="center" vertical="center" wrapText="1"/>
    </xf>
    <xf numFmtId="40" fontId="15" fillId="0" borderId="5" xfId="3" applyNumberFormat="1" applyFont="1" applyBorder="1" applyAlignment="1">
      <alignment horizontal="center" vertical="center" wrapText="1"/>
    </xf>
    <xf numFmtId="38" fontId="3" fillId="0" borderId="36" xfId="3" applyNumberFormat="1" applyFont="1" applyBorder="1" applyAlignment="1">
      <alignment horizontal="left" vertical="center" wrapText="1"/>
    </xf>
    <xf numFmtId="38" fontId="3" fillId="0" borderId="35" xfId="3" applyNumberFormat="1" applyFont="1" applyBorder="1" applyAlignment="1">
      <alignment horizontal="left" vertical="center" wrapText="1"/>
    </xf>
    <xf numFmtId="38" fontId="3" fillId="0" borderId="34" xfId="3" applyNumberFormat="1" applyFont="1" applyBorder="1" applyAlignment="1">
      <alignment horizontal="left" vertical="center" wrapText="1"/>
    </xf>
    <xf numFmtId="38" fontId="3" fillId="0" borderId="37" xfId="3" applyNumberFormat="1" applyFont="1" applyBorder="1" applyAlignment="1">
      <alignment horizontal="left" vertical="center" wrapText="1"/>
    </xf>
    <xf numFmtId="38" fontId="23" fillId="0" borderId="38" xfId="3" applyNumberFormat="1" applyFont="1" applyBorder="1" applyAlignment="1">
      <alignment horizontal="center" vertical="center" wrapText="1"/>
    </xf>
    <xf numFmtId="0" fontId="23" fillId="0" borderId="39" xfId="3" applyFont="1" applyBorder="1" applyAlignment="1">
      <alignment horizontal="center" vertical="center" wrapText="1"/>
    </xf>
    <xf numFmtId="38" fontId="23" fillId="0" borderId="39" xfId="3" applyNumberFormat="1" applyFont="1" applyBorder="1" applyAlignment="1">
      <alignment horizontal="center" vertical="center" wrapText="1"/>
    </xf>
    <xf numFmtId="0" fontId="23" fillId="0" borderId="40" xfId="3" applyFont="1" applyBorder="1" applyAlignment="1">
      <alignment horizontal="center" vertical="center" wrapText="1"/>
    </xf>
    <xf numFmtId="0" fontId="3" fillId="0" borderId="10" xfId="3" applyFont="1" applyBorder="1" applyAlignment="1">
      <alignment horizontal="left" vertical="top" wrapText="1"/>
    </xf>
    <xf numFmtId="0" fontId="3" fillId="0" borderId="11" xfId="3" applyFont="1" applyBorder="1" applyAlignment="1">
      <alignment horizontal="left" vertical="top" wrapText="1"/>
    </xf>
    <xf numFmtId="0" fontId="3" fillId="0" borderId="12" xfId="3" applyFont="1" applyBorder="1" applyAlignment="1">
      <alignment horizontal="left" vertical="top" wrapText="1"/>
    </xf>
    <xf numFmtId="38" fontId="3" fillId="0" borderId="33" xfId="3" applyNumberFormat="1" applyFont="1" applyBorder="1" applyAlignment="1">
      <alignment horizontal="left" vertical="center" wrapText="1"/>
    </xf>
    <xf numFmtId="0" fontId="17" fillId="0" borderId="18" xfId="3" applyFont="1" applyBorder="1" applyAlignment="1">
      <alignment horizontal="center" vertical="center" wrapText="1"/>
    </xf>
    <xf numFmtId="0" fontId="17" fillId="0" borderId="16" xfId="3" applyFont="1" applyBorder="1" applyAlignment="1">
      <alignment horizontal="center" vertical="center" wrapText="1"/>
    </xf>
    <xf numFmtId="0" fontId="17" fillId="0" borderId="19" xfId="3" applyFont="1" applyBorder="1" applyAlignment="1">
      <alignment horizontal="center" vertical="center" wrapText="1"/>
    </xf>
    <xf numFmtId="0" fontId="21" fillId="0" borderId="20" xfId="3" applyFont="1" applyBorder="1" applyAlignment="1">
      <alignment horizontal="center" vertical="center" wrapText="1"/>
    </xf>
    <xf numFmtId="0" fontId="21" fillId="0" borderId="21" xfId="3" applyFont="1" applyBorder="1" applyAlignment="1">
      <alignment horizontal="center" vertical="center" wrapText="1"/>
    </xf>
    <xf numFmtId="0" fontId="21" fillId="0" borderId="22" xfId="3" applyFont="1" applyBorder="1" applyAlignment="1">
      <alignment horizontal="center" vertical="center" wrapText="1"/>
    </xf>
    <xf numFmtId="0" fontId="4" fillId="0" borderId="5" xfId="3" applyFont="1" applyBorder="1" applyAlignment="1">
      <alignment horizontal="center" vertical="center" wrapText="1"/>
    </xf>
    <xf numFmtId="0" fontId="20" fillId="0" borderId="10" xfId="3" applyFont="1" applyBorder="1" applyAlignment="1">
      <alignment horizontal="left" vertical="center" wrapText="1"/>
    </xf>
    <xf numFmtId="0" fontId="20" fillId="0" borderId="11" xfId="3" applyFont="1" applyBorder="1" applyAlignment="1">
      <alignment horizontal="left" vertical="center" wrapText="1"/>
    </xf>
    <xf numFmtId="0" fontId="20" fillId="0" borderId="12" xfId="3" applyFont="1" applyBorder="1" applyAlignment="1">
      <alignment horizontal="left" vertical="center" wrapText="1"/>
    </xf>
    <xf numFmtId="0" fontId="17" fillId="0" borderId="15" xfId="3" applyFont="1" applyBorder="1" applyAlignment="1">
      <alignment horizontal="center" vertical="center" wrapText="1"/>
    </xf>
    <xf numFmtId="0" fontId="17" fillId="0" borderId="17" xfId="3" applyFont="1" applyBorder="1" applyAlignment="1">
      <alignment horizontal="center" vertical="center" wrapText="1"/>
    </xf>
    <xf numFmtId="0" fontId="3" fillId="0" borderId="6" xfId="3" applyFont="1" applyBorder="1" applyAlignment="1">
      <alignment horizontal="center" vertical="center" wrapText="1"/>
    </xf>
    <xf numFmtId="0" fontId="3" fillId="0" borderId="7" xfId="3" applyFont="1" applyBorder="1" applyAlignment="1">
      <alignment horizontal="center" vertical="center" wrapText="1"/>
    </xf>
    <xf numFmtId="0" fontId="3" fillId="0" borderId="8" xfId="3" applyFont="1" applyBorder="1" applyAlignment="1">
      <alignment horizontal="center" vertical="center" wrapText="1"/>
    </xf>
    <xf numFmtId="0" fontId="19" fillId="0" borderId="11" xfId="3" applyFont="1" applyBorder="1" applyAlignment="1">
      <alignment horizontal="center" vertical="center" wrapText="1"/>
    </xf>
    <xf numFmtId="0" fontId="19" fillId="0" borderId="30" xfId="3" applyFont="1" applyBorder="1" applyAlignment="1">
      <alignment horizontal="center" vertical="center" wrapText="1"/>
    </xf>
    <xf numFmtId="0" fontId="16" fillId="0" borderId="36"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5" xfId="3" applyFont="1" applyBorder="1" applyAlignment="1">
      <alignment horizontal="center" vertical="center" wrapText="1"/>
    </xf>
    <xf numFmtId="0" fontId="16" fillId="0" borderId="37" xfId="3" applyFont="1" applyBorder="1" applyAlignment="1">
      <alignment horizontal="center" vertical="center" wrapText="1"/>
    </xf>
    <xf numFmtId="0" fontId="4" fillId="0" borderId="38" xfId="3" applyFont="1" applyBorder="1" applyAlignment="1">
      <alignment horizontal="left" vertical="center" wrapText="1"/>
    </xf>
    <xf numFmtId="0" fontId="4" fillId="0" borderId="39" xfId="3" applyFont="1" applyBorder="1" applyAlignment="1">
      <alignment horizontal="left" vertical="center" wrapText="1"/>
    </xf>
    <xf numFmtId="0" fontId="19" fillId="0" borderId="39" xfId="3" applyFont="1" applyBorder="1" applyAlignment="1">
      <alignment horizontal="center" vertical="center" wrapText="1"/>
    </xf>
    <xf numFmtId="0" fontId="19" fillId="0" borderId="40" xfId="3" applyFont="1" applyBorder="1" applyAlignment="1">
      <alignment horizontal="center" vertical="center" wrapText="1"/>
    </xf>
    <xf numFmtId="0" fontId="19" fillId="0" borderId="21" xfId="3" applyFont="1" applyBorder="1" applyAlignment="1">
      <alignment horizontal="center" vertical="center" wrapText="1"/>
    </xf>
    <xf numFmtId="0" fontId="19" fillId="0" borderId="22" xfId="3" applyFont="1" applyBorder="1" applyAlignment="1">
      <alignment horizontal="center" vertical="center" wrapText="1"/>
    </xf>
    <xf numFmtId="0" fontId="3" fillId="0" borderId="25" xfId="3" applyFont="1" applyBorder="1" applyAlignment="1">
      <alignment horizontal="left" vertical="center" wrapText="1"/>
    </xf>
    <xf numFmtId="0" fontId="3" fillId="0" borderId="26" xfId="3" applyFont="1" applyBorder="1" applyAlignment="1">
      <alignment horizontal="left" vertical="center" wrapText="1"/>
    </xf>
    <xf numFmtId="0" fontId="16" fillId="0" borderId="27" xfId="3" applyFont="1" applyBorder="1" applyAlignment="1">
      <alignment horizontal="center" vertical="center" wrapText="1"/>
    </xf>
    <xf numFmtId="0" fontId="16" fillId="0" borderId="26"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28" xfId="3" applyFont="1" applyBorder="1" applyAlignment="1">
      <alignment horizontal="center" vertical="center" wrapText="1"/>
    </xf>
    <xf numFmtId="0" fontId="13" fillId="0" borderId="24" xfId="3" applyFont="1" applyBorder="1" applyAlignment="1">
      <alignment horizontal="left" vertical="center" wrapText="1"/>
    </xf>
    <xf numFmtId="0" fontId="16" fillId="0" borderId="18" xfId="3" applyFont="1" applyBorder="1" applyAlignment="1">
      <alignment horizontal="center" vertical="center" wrapText="1"/>
    </xf>
    <xf numFmtId="0" fontId="16" fillId="0" borderId="16" xfId="3" applyFont="1" applyBorder="1" applyAlignment="1">
      <alignment horizontal="center" vertical="center" wrapText="1"/>
    </xf>
    <xf numFmtId="0" fontId="16" fillId="0" borderId="17" xfId="3" applyFont="1" applyBorder="1" applyAlignment="1">
      <alignment horizontal="center" vertical="center" wrapText="1"/>
    </xf>
    <xf numFmtId="0" fontId="16" fillId="0" borderId="19" xfId="3" applyFont="1" applyBorder="1" applyAlignment="1">
      <alignment horizontal="center" vertical="center" wrapText="1"/>
    </xf>
    <xf numFmtId="0" fontId="19" fillId="0" borderId="27" xfId="3" applyFont="1" applyBorder="1" applyAlignment="1">
      <alignment horizontal="center" vertical="center" wrapText="1"/>
    </xf>
    <xf numFmtId="0" fontId="19" fillId="0" borderId="26" xfId="3" applyFont="1" applyBorder="1" applyAlignment="1">
      <alignment horizontal="center" vertical="center" wrapText="1"/>
    </xf>
    <xf numFmtId="0" fontId="19" fillId="0" borderId="28" xfId="3" applyFont="1" applyBorder="1" applyAlignment="1">
      <alignment horizontal="center" vertical="center" wrapText="1"/>
    </xf>
    <xf numFmtId="0" fontId="3" fillId="0" borderId="36" xfId="3" applyFont="1" applyBorder="1" applyAlignment="1">
      <alignment horizontal="left" vertical="center" wrapText="1"/>
    </xf>
    <xf numFmtId="0" fontId="3" fillId="0" borderId="36" xfId="3" applyFont="1" applyBorder="1" applyAlignment="1">
      <alignment horizontal="center" vertical="center" wrapText="1"/>
    </xf>
    <xf numFmtId="0" fontId="3" fillId="0" borderId="34" xfId="3" applyFont="1" applyBorder="1" applyAlignment="1">
      <alignment horizontal="center" vertical="center" wrapText="1"/>
    </xf>
    <xf numFmtId="0" fontId="3" fillId="0" borderId="37" xfId="3" applyFont="1" applyBorder="1" applyAlignment="1">
      <alignment horizontal="center" vertical="center" wrapText="1"/>
    </xf>
    <xf numFmtId="0" fontId="15" fillId="0" borderId="36" xfId="3" applyFont="1" applyBorder="1" applyAlignment="1">
      <alignment horizontal="center" vertical="center" wrapText="1"/>
    </xf>
    <xf numFmtId="0" fontId="15" fillId="0" borderId="34" xfId="3" applyFont="1" applyBorder="1" applyAlignment="1">
      <alignment horizontal="center" vertical="center" wrapText="1"/>
    </xf>
    <xf numFmtId="0" fontId="15" fillId="0" borderId="37" xfId="3" applyFont="1" applyBorder="1" applyAlignment="1">
      <alignment horizontal="center" vertical="center" wrapText="1"/>
    </xf>
    <xf numFmtId="0" fontId="3" fillId="0" borderId="47" xfId="3" applyFont="1" applyBorder="1" applyAlignment="1">
      <alignment horizontal="left" vertical="center" wrapText="1"/>
    </xf>
    <xf numFmtId="0" fontId="3" fillId="0" borderId="48" xfId="3" applyFont="1" applyBorder="1" applyAlignment="1">
      <alignment horizontal="left" vertical="center" wrapText="1"/>
    </xf>
    <xf numFmtId="0" fontId="3" fillId="0" borderId="49" xfId="3" applyFont="1" applyBorder="1" applyAlignment="1">
      <alignment horizontal="left" vertical="center" wrapText="1"/>
    </xf>
    <xf numFmtId="0" fontId="3" fillId="0" borderId="50" xfId="3" applyFont="1" applyBorder="1" applyAlignment="1">
      <alignment horizontal="left" vertical="center" wrapText="1"/>
    </xf>
    <xf numFmtId="0" fontId="3" fillId="0" borderId="51" xfId="3" applyFont="1" applyBorder="1" applyAlignment="1">
      <alignment horizontal="left" vertical="center" wrapText="1"/>
    </xf>
    <xf numFmtId="0" fontId="3" fillId="0" borderId="52" xfId="3" applyFont="1" applyBorder="1" applyAlignment="1">
      <alignment horizontal="left" vertical="center" wrapText="1"/>
    </xf>
    <xf numFmtId="0" fontId="3" fillId="0" borderId="27" xfId="3" applyFont="1" applyBorder="1" applyAlignment="1">
      <alignment horizontal="left" vertical="center" wrapText="1"/>
    </xf>
    <xf numFmtId="0" fontId="3" fillId="0" borderId="28" xfId="3" applyFont="1" applyBorder="1" applyAlignment="1">
      <alignment horizontal="left" vertical="center" wrapText="1"/>
    </xf>
    <xf numFmtId="0" fontId="15" fillId="0" borderId="27" xfId="3" applyFont="1" applyBorder="1" applyAlignment="1">
      <alignment horizontal="center" vertical="center" wrapText="1"/>
    </xf>
    <xf numFmtId="0" fontId="15" fillId="0" borderId="26" xfId="3" applyFont="1" applyBorder="1" applyAlignment="1">
      <alignment horizontal="center" vertical="center" wrapText="1"/>
    </xf>
    <xf numFmtId="0" fontId="15" fillId="0" borderId="28" xfId="3" applyFont="1" applyBorder="1" applyAlignment="1">
      <alignment horizontal="center" vertical="center" wrapText="1"/>
    </xf>
    <xf numFmtId="0" fontId="19" fillId="0" borderId="18" xfId="3" applyFont="1" applyBorder="1" applyAlignment="1">
      <alignment horizontal="center" vertical="center" wrapText="1"/>
    </xf>
    <xf numFmtId="0" fontId="19" fillId="0" borderId="16" xfId="3" applyFont="1" applyBorder="1" applyAlignment="1">
      <alignment horizontal="center" vertical="center" wrapText="1"/>
    </xf>
    <xf numFmtId="0" fontId="19" fillId="0" borderId="19" xfId="3" applyFont="1" applyBorder="1" applyAlignment="1">
      <alignment horizontal="center" vertical="center" wrapText="1"/>
    </xf>
    <xf numFmtId="0" fontId="3" fillId="0" borderId="41" xfId="3" applyFont="1" applyBorder="1" applyAlignment="1">
      <alignment horizontal="left" vertical="center" wrapText="1"/>
    </xf>
    <xf numFmtId="0" fontId="3" fillId="0" borderId="42" xfId="3" applyFont="1" applyBorder="1" applyAlignment="1">
      <alignment horizontal="left" vertical="center" wrapText="1"/>
    </xf>
    <xf numFmtId="0" fontId="3" fillId="0" borderId="43" xfId="3" applyFont="1" applyBorder="1" applyAlignment="1">
      <alignment horizontal="left" vertical="center" wrapText="1"/>
    </xf>
    <xf numFmtId="0" fontId="3" fillId="0" borderId="44" xfId="3" applyFont="1" applyBorder="1" applyAlignment="1">
      <alignment horizontal="left" vertical="center" wrapText="1"/>
    </xf>
    <xf numFmtId="0" fontId="3" fillId="0" borderId="45" xfId="3" applyFont="1" applyBorder="1" applyAlignment="1">
      <alignment horizontal="left" vertical="center" wrapText="1"/>
    </xf>
    <xf numFmtId="0" fontId="3" fillId="0" borderId="46" xfId="3" applyFont="1" applyBorder="1" applyAlignment="1">
      <alignment horizontal="left" vertical="center" wrapText="1"/>
    </xf>
    <xf numFmtId="0" fontId="19" fillId="0" borderId="15"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0" fontId="17" fillId="0" borderId="35" xfId="3" applyFont="1" applyBorder="1" applyAlignment="1">
      <alignment horizontal="center" vertical="center" wrapText="1"/>
    </xf>
    <xf numFmtId="0" fontId="15" fillId="0" borderId="33" xfId="3" applyFont="1" applyBorder="1" applyAlignment="1">
      <alignment horizontal="center" vertical="center" wrapText="1"/>
    </xf>
    <xf numFmtId="0" fontId="16" fillId="0" borderId="15" xfId="3" applyFont="1" applyBorder="1" applyAlignment="1">
      <alignment horizontal="center" vertical="center" wrapText="1"/>
    </xf>
    <xf numFmtId="38" fontId="15" fillId="0" borderId="6" xfId="3" applyNumberFormat="1" applyFont="1" applyBorder="1" applyAlignment="1">
      <alignment horizontal="center" vertical="center" wrapText="1"/>
    </xf>
    <xf numFmtId="38" fontId="15" fillId="0" borderId="7" xfId="3" applyNumberFormat="1" applyFont="1" applyBorder="1" applyAlignment="1">
      <alignment horizontal="center" vertical="center" wrapText="1"/>
    </xf>
    <xf numFmtId="38" fontId="15" fillId="0" borderId="8" xfId="3" applyNumberFormat="1" applyFont="1" applyBorder="1" applyAlignment="1">
      <alignment horizontal="center" vertical="center" wrapText="1"/>
    </xf>
    <xf numFmtId="0" fontId="13" fillId="0" borderId="13" xfId="3" applyFont="1" applyBorder="1" applyAlignment="1">
      <alignment horizontal="left" vertical="center" wrapText="1"/>
    </xf>
    <xf numFmtId="0" fontId="13" fillId="0" borderId="23" xfId="3" applyFont="1" applyBorder="1" applyAlignment="1">
      <alignment horizontal="left" vertical="center" wrapText="1"/>
    </xf>
    <xf numFmtId="0" fontId="13" fillId="0" borderId="31" xfId="3" applyFont="1" applyBorder="1" applyAlignment="1">
      <alignment horizontal="left" vertical="center" wrapText="1"/>
    </xf>
    <xf numFmtId="0" fontId="15" fillId="0" borderId="6" xfId="3" applyFont="1" applyBorder="1" applyAlignment="1">
      <alignment horizontal="center" vertical="center" wrapText="1"/>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3" fillId="0" borderId="2" xfId="3" applyFont="1" applyBorder="1" applyAlignment="1">
      <alignment horizontal="left" vertical="center" wrapText="1"/>
    </xf>
    <xf numFmtId="0" fontId="3" fillId="0" borderId="3" xfId="3" applyFont="1" applyBorder="1" applyAlignment="1">
      <alignment horizontal="left" vertical="center" wrapText="1"/>
    </xf>
    <xf numFmtId="0" fontId="3" fillId="0" borderId="4" xfId="3" applyFont="1" applyBorder="1" applyAlignment="1">
      <alignment horizontal="left"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3" applyFont="1" applyAlignment="1">
      <alignment horizontal="center" vertical="center"/>
    </xf>
    <xf numFmtId="0" fontId="12" fillId="0" borderId="0" xfId="3" applyFont="1" applyAlignment="1">
      <alignment horizontal="center" vertical="center"/>
    </xf>
    <xf numFmtId="0" fontId="3" fillId="0" borderId="20" xfId="3" applyFont="1" applyBorder="1" applyAlignment="1">
      <alignment horizontal="center" vertical="center" wrapText="1"/>
    </xf>
    <xf numFmtId="0" fontId="3" fillId="0" borderId="21" xfId="3" applyFont="1" applyBorder="1" applyAlignment="1">
      <alignment horizontal="center" vertical="center" wrapText="1"/>
    </xf>
    <xf numFmtId="0" fontId="3" fillId="0" borderId="22" xfId="3" applyFont="1" applyBorder="1" applyAlignment="1">
      <alignment horizontal="center" vertical="center" wrapText="1"/>
    </xf>
    <xf numFmtId="0" fontId="3" fillId="0" borderId="17" xfId="3" applyFont="1" applyBorder="1" applyAlignment="1">
      <alignment horizontal="center" vertical="center" wrapText="1"/>
    </xf>
    <xf numFmtId="0" fontId="36" fillId="0" borderId="39" xfId="3" applyFont="1" applyBorder="1" applyAlignment="1">
      <alignment horizontal="left" vertical="center" wrapText="1"/>
    </xf>
    <xf numFmtId="0" fontId="36" fillId="0" borderId="40" xfId="3" applyFont="1" applyBorder="1" applyAlignment="1">
      <alignment horizontal="left" vertical="center" wrapText="1"/>
    </xf>
    <xf numFmtId="38" fontId="36" fillId="0" borderId="33" xfId="1" applyNumberFormat="1" applyFont="1" applyBorder="1" applyAlignment="1">
      <alignment horizontal="center" vertical="center" wrapText="1"/>
    </xf>
    <xf numFmtId="38" fontId="36" fillId="0" borderId="34" xfId="1" applyNumberFormat="1" applyFont="1" applyBorder="1" applyAlignment="1">
      <alignment horizontal="center" vertical="center" wrapText="1"/>
    </xf>
    <xf numFmtId="38" fontId="36" fillId="0" borderId="37" xfId="1" applyNumberFormat="1" applyFont="1" applyBorder="1" applyAlignment="1">
      <alignment horizontal="center" vertical="center" wrapText="1"/>
    </xf>
    <xf numFmtId="0" fontId="17" fillId="0" borderId="39" xfId="3" applyFont="1" applyBorder="1" applyAlignment="1">
      <alignment horizontal="left" vertical="center" wrapText="1"/>
    </xf>
    <xf numFmtId="0" fontId="17" fillId="0" borderId="40" xfId="3" applyFont="1" applyBorder="1" applyAlignment="1">
      <alignment horizontal="left" vertical="center" wrapText="1"/>
    </xf>
    <xf numFmtId="38" fontId="25" fillId="0" borderId="39" xfId="1" applyNumberFormat="1" applyFont="1" applyBorder="1" applyAlignment="1">
      <alignment horizontal="left" vertical="center" wrapText="1"/>
    </xf>
    <xf numFmtId="38" fontId="25" fillId="0" borderId="40" xfId="1" applyNumberFormat="1" applyFont="1" applyBorder="1" applyAlignment="1">
      <alignment horizontal="left" vertical="center" wrapText="1"/>
    </xf>
    <xf numFmtId="0" fontId="32" fillId="0" borderId="5" xfId="3" applyFont="1" applyBorder="1" applyAlignment="1">
      <alignment horizontal="left" vertical="center" wrapText="1"/>
    </xf>
    <xf numFmtId="0" fontId="6" fillId="0" borderId="20" xfId="3" applyFont="1" applyBorder="1" applyAlignment="1">
      <alignment horizontal="center" vertical="center" wrapText="1"/>
    </xf>
    <xf numFmtId="0" fontId="6" fillId="0" borderId="21" xfId="3" applyFont="1" applyBorder="1" applyAlignment="1">
      <alignment horizontal="center" vertical="center" wrapText="1"/>
    </xf>
    <xf numFmtId="0" fontId="6" fillId="0" borderId="22" xfId="3" applyFont="1" applyBorder="1" applyAlignment="1">
      <alignment horizontal="center" vertical="center" wrapText="1"/>
    </xf>
    <xf numFmtId="0" fontId="13" fillId="0" borderId="5" xfId="3" applyFont="1" applyBorder="1" applyAlignment="1">
      <alignment horizontal="left" vertical="center" wrapText="1"/>
    </xf>
    <xf numFmtId="38" fontId="3" fillId="0" borderId="11" xfId="3" applyNumberFormat="1" applyFont="1" applyBorder="1" applyAlignment="1">
      <alignment horizontal="center" vertical="center" wrapText="1"/>
    </xf>
    <xf numFmtId="0" fontId="3" fillId="0" borderId="11" xfId="3" applyFont="1" applyBorder="1" applyAlignment="1">
      <alignment horizontal="center" vertical="center" wrapText="1"/>
    </xf>
    <xf numFmtId="0" fontId="3" fillId="0" borderId="30" xfId="3" applyFont="1" applyBorder="1" applyAlignment="1">
      <alignment horizontal="center" vertical="center" wrapText="1"/>
    </xf>
    <xf numFmtId="0" fontId="6" fillId="0" borderId="29" xfId="3" applyFont="1" applyBorder="1" applyAlignment="1">
      <alignment horizontal="left" vertical="center" wrapText="1"/>
    </xf>
    <xf numFmtId="0" fontId="6" fillId="0" borderId="11" xfId="3" applyFont="1" applyBorder="1" applyAlignment="1">
      <alignment horizontal="left" vertical="center" wrapText="1"/>
    </xf>
    <xf numFmtId="38" fontId="33" fillId="0" borderId="11" xfId="3" applyNumberFormat="1" applyFont="1" applyBorder="1" applyAlignment="1">
      <alignment horizontal="center" vertical="center" wrapText="1"/>
    </xf>
    <xf numFmtId="0" fontId="33" fillId="0" borderId="11" xfId="3" applyFont="1" applyBorder="1" applyAlignment="1">
      <alignment horizontal="center" vertical="center" wrapText="1"/>
    </xf>
    <xf numFmtId="0" fontId="33" fillId="0" borderId="30" xfId="3" applyFont="1" applyBorder="1" applyAlignment="1">
      <alignment horizontal="center" vertical="center" wrapText="1"/>
    </xf>
    <xf numFmtId="0" fontId="3" fillId="0" borderId="29" xfId="3" applyFont="1" applyBorder="1" applyAlignment="1">
      <alignment horizontal="left" vertical="center" wrapText="1"/>
    </xf>
    <xf numFmtId="38" fontId="33" fillId="0" borderId="21" xfId="3" applyNumberFormat="1" applyFont="1" applyBorder="1" applyAlignment="1">
      <alignment horizontal="center" vertical="center" wrapText="1"/>
    </xf>
    <xf numFmtId="0" fontId="33" fillId="0" borderId="21" xfId="3" applyFont="1" applyBorder="1" applyAlignment="1">
      <alignment horizontal="center" vertical="center" wrapText="1"/>
    </xf>
    <xf numFmtId="0" fontId="33" fillId="0" borderId="22" xfId="3" applyFont="1" applyBorder="1" applyAlignment="1">
      <alignment horizontal="center" vertical="center" wrapText="1"/>
    </xf>
    <xf numFmtId="0" fontId="13" fillId="0" borderId="5" xfId="3" applyFont="1" applyBorder="1" applyAlignment="1">
      <alignment horizontal="center" vertical="center" wrapText="1"/>
    </xf>
    <xf numFmtId="0" fontId="3" fillId="0" borderId="20" xfId="3" applyFont="1" applyBorder="1" applyAlignment="1">
      <alignment horizontal="left" vertical="center" wrapText="1"/>
    </xf>
    <xf numFmtId="0" fontId="3" fillId="0" borderId="21" xfId="3" applyFont="1" applyBorder="1" applyAlignment="1">
      <alignment horizontal="left" vertical="center" wrapText="1"/>
    </xf>
    <xf numFmtId="38" fontId="3" fillId="0" borderId="21" xfId="3" applyNumberFormat="1" applyFont="1" applyBorder="1" applyAlignment="1">
      <alignment horizontal="center" vertical="center" wrapText="1"/>
    </xf>
    <xf numFmtId="38" fontId="6" fillId="0" borderId="29" xfId="3" applyNumberFormat="1" applyFont="1" applyBorder="1" applyAlignment="1">
      <alignment horizontal="left" vertical="center" wrapText="1"/>
    </xf>
    <xf numFmtId="38" fontId="3" fillId="0" borderId="29" xfId="3" applyNumberFormat="1" applyFont="1" applyBorder="1" applyAlignment="1">
      <alignment horizontal="left" vertical="center" wrapText="1"/>
    </xf>
    <xf numFmtId="0" fontId="32" fillId="0" borderId="5" xfId="3" applyFont="1" applyBorder="1" applyAlignment="1">
      <alignment horizontal="center" vertical="center" wrapText="1"/>
    </xf>
    <xf numFmtId="0" fontId="6" fillId="0" borderId="20" xfId="3" applyFont="1" applyBorder="1" applyAlignment="1">
      <alignment horizontal="left" vertical="center" wrapText="1"/>
    </xf>
    <xf numFmtId="0" fontId="6" fillId="0" borderId="21" xfId="3" applyFont="1" applyBorder="1" applyAlignment="1">
      <alignment horizontal="left" vertical="center" wrapText="1"/>
    </xf>
    <xf numFmtId="164" fontId="33" fillId="0" borderId="5" xfId="2" applyNumberFormat="1" applyFont="1" applyBorder="1" applyAlignment="1">
      <alignment horizontal="center" vertical="center" wrapText="1"/>
    </xf>
    <xf numFmtId="164" fontId="3" fillId="0" borderId="5" xfId="2" applyNumberFormat="1" applyFont="1" applyBorder="1" applyAlignment="1">
      <alignment horizontal="center" vertical="center" wrapText="1"/>
    </xf>
    <xf numFmtId="38" fontId="33" fillId="0" borderId="5" xfId="3" applyNumberFormat="1" applyFont="1" applyBorder="1" applyAlignment="1">
      <alignment horizontal="center" vertical="center" wrapText="1"/>
    </xf>
    <xf numFmtId="0" fontId="33" fillId="0" borderId="5" xfId="3" applyFont="1" applyBorder="1" applyAlignment="1">
      <alignment horizontal="center" vertical="center" wrapText="1"/>
    </xf>
    <xf numFmtId="38" fontId="3" fillId="0" borderId="5" xfId="3" applyNumberFormat="1" applyFont="1" applyBorder="1" applyAlignment="1">
      <alignment horizontal="center" vertical="center" wrapText="1"/>
    </xf>
    <xf numFmtId="0" fontId="3" fillId="0" borderId="5" xfId="3" applyFont="1" applyBorder="1" applyAlignment="1">
      <alignment horizontal="center" vertical="center" wrapText="1"/>
    </xf>
    <xf numFmtId="40" fontId="33" fillId="0" borderId="5" xfId="3" applyNumberFormat="1" applyFont="1" applyBorder="1" applyAlignment="1">
      <alignment horizontal="center" vertical="center" wrapText="1"/>
    </xf>
    <xf numFmtId="40" fontId="3" fillId="0" borderId="5" xfId="3" applyNumberFormat="1" applyFont="1" applyBorder="1" applyAlignment="1">
      <alignment horizontal="center" vertical="center" wrapText="1"/>
    </xf>
    <xf numFmtId="38" fontId="33" fillId="0" borderId="39" xfId="3" applyNumberFormat="1" applyFont="1" applyBorder="1" applyAlignment="1">
      <alignment horizontal="center" vertical="center" wrapText="1"/>
    </xf>
    <xf numFmtId="0" fontId="33" fillId="0" borderId="39" xfId="3" applyFont="1" applyBorder="1" applyAlignment="1">
      <alignment horizontal="center" vertical="center" wrapText="1"/>
    </xf>
    <xf numFmtId="0" fontId="33" fillId="0" borderId="40" xfId="3" applyFont="1" applyBorder="1" applyAlignment="1">
      <alignment horizontal="center" vertical="center" wrapText="1"/>
    </xf>
    <xf numFmtId="38" fontId="3" fillId="0" borderId="38" xfId="3" applyNumberFormat="1" applyFont="1" applyBorder="1" applyAlignment="1">
      <alignment horizontal="left" vertical="center" wrapText="1"/>
    </xf>
    <xf numFmtId="0" fontId="3" fillId="0" borderId="39" xfId="3" applyFont="1" applyBorder="1" applyAlignment="1">
      <alignment horizontal="left" vertical="center" wrapText="1"/>
    </xf>
    <xf numFmtId="38" fontId="3" fillId="0" borderId="39" xfId="3" applyNumberFormat="1" applyFont="1" applyBorder="1" applyAlignment="1">
      <alignment horizontal="left" vertical="center" wrapText="1"/>
    </xf>
    <xf numFmtId="0" fontId="3" fillId="0" borderId="40" xfId="3" applyFont="1" applyBorder="1" applyAlignment="1">
      <alignment horizontal="left" vertical="center" wrapText="1"/>
    </xf>
    <xf numFmtId="38" fontId="37" fillId="0" borderId="38" xfId="3" applyNumberFormat="1" applyFont="1" applyBorder="1" applyAlignment="1">
      <alignment horizontal="center" vertical="center" wrapText="1"/>
    </xf>
    <xf numFmtId="0" fontId="37" fillId="0" borderId="39"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17" fillId="0" borderId="20" xfId="3" applyFont="1" applyBorder="1" applyAlignment="1">
      <alignment horizontal="center" vertical="center" wrapText="1"/>
    </xf>
    <xf numFmtId="0" fontId="17" fillId="0" borderId="21" xfId="3" applyFont="1" applyBorder="1" applyAlignment="1">
      <alignment horizontal="center" vertical="center" wrapText="1"/>
    </xf>
    <xf numFmtId="0" fontId="17" fillId="0" borderId="22" xfId="3" applyFont="1" applyBorder="1" applyAlignment="1">
      <alignment horizontal="center" vertical="center" wrapText="1"/>
    </xf>
    <xf numFmtId="0" fontId="36" fillId="0" borderId="20" xfId="3" applyFont="1" applyBorder="1" applyAlignment="1">
      <alignment horizontal="center" vertical="center" wrapText="1"/>
    </xf>
    <xf numFmtId="0" fontId="6" fillId="0" borderId="5"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30" xfId="3" applyFont="1" applyBorder="1" applyAlignment="1">
      <alignment horizontal="center" vertical="center" wrapText="1"/>
    </xf>
    <xf numFmtId="0" fontId="6" fillId="0" borderId="38" xfId="3" applyFont="1" applyBorder="1" applyAlignment="1">
      <alignment horizontal="left" vertical="center" wrapText="1"/>
    </xf>
    <xf numFmtId="0" fontId="6" fillId="0" borderId="39" xfId="3" applyFont="1" applyBorder="1" applyAlignment="1">
      <alignment horizontal="left" vertical="center" wrapText="1"/>
    </xf>
    <xf numFmtId="0" fontId="35" fillId="0" borderId="39" xfId="3" applyFont="1" applyBorder="1" applyAlignment="1">
      <alignment horizontal="center" vertical="center" wrapText="1"/>
    </xf>
    <xf numFmtId="0" fontId="35" fillId="0" borderId="40" xfId="3" applyFont="1" applyBorder="1" applyAlignment="1">
      <alignment horizontal="center" vertical="center" wrapText="1"/>
    </xf>
    <xf numFmtId="0" fontId="3" fillId="0" borderId="38" xfId="3" applyFont="1" applyBorder="1" applyAlignment="1">
      <alignment horizontal="left" vertical="center" wrapText="1"/>
    </xf>
    <xf numFmtId="0" fontId="16" fillId="0" borderId="39" xfId="3" applyFont="1" applyBorder="1" applyAlignment="1">
      <alignment horizontal="center" vertical="center" wrapText="1"/>
    </xf>
    <xf numFmtId="0" fontId="16" fillId="0" borderId="40" xfId="3" applyFont="1" applyBorder="1" applyAlignment="1">
      <alignment horizontal="center" vertical="center" wrapText="1"/>
    </xf>
    <xf numFmtId="0" fontId="16" fillId="0" borderId="21" xfId="3" applyFont="1" applyBorder="1" applyAlignment="1">
      <alignment horizontal="center" vertical="center" wrapText="1"/>
    </xf>
    <xf numFmtId="0" fontId="16" fillId="0" borderId="22" xfId="3" applyFont="1" applyBorder="1" applyAlignment="1">
      <alignment horizontal="center" vertical="center" wrapText="1"/>
    </xf>
    <xf numFmtId="0" fontId="35" fillId="0" borderId="11" xfId="3" applyFont="1" applyBorder="1" applyAlignment="1">
      <alignment horizontal="center" vertical="center" wrapText="1"/>
    </xf>
    <xf numFmtId="0" fontId="35" fillId="0" borderId="30" xfId="3" applyFont="1" applyBorder="1" applyAlignment="1">
      <alignment horizontal="center" vertical="center" wrapText="1"/>
    </xf>
    <xf numFmtId="0" fontId="35" fillId="0" borderId="21" xfId="3" applyFont="1" applyBorder="1" applyAlignment="1">
      <alignment horizontal="center" vertical="center" wrapText="1"/>
    </xf>
    <xf numFmtId="0" fontId="35" fillId="0" borderId="22" xfId="3" applyFont="1" applyBorder="1" applyAlignment="1">
      <alignment horizontal="center" vertical="center" wrapText="1"/>
    </xf>
    <xf numFmtId="0" fontId="33" fillId="0" borderId="36" xfId="3" applyFont="1" applyBorder="1" applyAlignment="1">
      <alignment horizontal="center" vertical="center" wrapText="1"/>
    </xf>
    <xf numFmtId="0" fontId="33" fillId="0" borderId="34" xfId="3" applyFont="1" applyBorder="1" applyAlignment="1">
      <alignment horizontal="center" vertical="center" wrapText="1"/>
    </xf>
    <xf numFmtId="0" fontId="33" fillId="0" borderId="37" xfId="3" applyFont="1" applyBorder="1" applyAlignment="1">
      <alignment horizontal="center" vertical="center" wrapText="1"/>
    </xf>
    <xf numFmtId="0" fontId="3" fillId="0" borderId="39" xfId="3" applyFont="1" applyBorder="1" applyAlignment="1">
      <alignment horizontal="center" vertical="center" wrapText="1"/>
    </xf>
    <xf numFmtId="0" fontId="3" fillId="0" borderId="40" xfId="3" applyFont="1" applyBorder="1" applyAlignment="1">
      <alignment horizontal="center" vertical="center" wrapText="1"/>
    </xf>
    <xf numFmtId="0" fontId="35" fillId="0" borderId="27" xfId="3" applyFont="1" applyBorder="1" applyAlignment="1">
      <alignment horizontal="center" vertical="center" wrapText="1"/>
    </xf>
    <xf numFmtId="0" fontId="35" fillId="0" borderId="26" xfId="3" applyFont="1" applyBorder="1" applyAlignment="1">
      <alignment horizontal="center" vertical="center" wrapText="1"/>
    </xf>
    <xf numFmtId="0" fontId="35" fillId="0" borderId="28" xfId="3" applyFont="1" applyBorder="1" applyAlignment="1">
      <alignment horizontal="center" vertical="center" wrapText="1"/>
    </xf>
    <xf numFmtId="0" fontId="33" fillId="0" borderId="27" xfId="3" applyFont="1" applyBorder="1" applyAlignment="1">
      <alignment horizontal="center" vertical="center" wrapText="1"/>
    </xf>
    <xf numFmtId="0" fontId="33" fillId="0" borderId="26" xfId="3" applyFont="1" applyBorder="1" applyAlignment="1">
      <alignment horizontal="center" vertical="center" wrapText="1"/>
    </xf>
    <xf numFmtId="0" fontId="33" fillId="0" borderId="28" xfId="3" applyFont="1" applyBorder="1" applyAlignment="1">
      <alignment horizontal="center" vertical="center" wrapText="1"/>
    </xf>
    <xf numFmtId="0" fontId="3" fillId="0" borderId="30" xfId="3" applyFont="1" applyBorder="1" applyAlignment="1">
      <alignment horizontal="left" vertical="center" wrapText="1"/>
    </xf>
    <xf numFmtId="0" fontId="35" fillId="0" borderId="18" xfId="3" applyFont="1" applyBorder="1" applyAlignment="1">
      <alignment horizontal="center" vertical="center" wrapText="1"/>
    </xf>
    <xf numFmtId="0" fontId="35" fillId="0" borderId="16" xfId="3" applyFont="1" applyBorder="1" applyAlignment="1">
      <alignment horizontal="center" vertical="center" wrapText="1"/>
    </xf>
    <xf numFmtId="0" fontId="35" fillId="0" borderId="19" xfId="3" applyFont="1" applyBorder="1" applyAlignment="1">
      <alignment horizontal="center" vertical="center" wrapText="1"/>
    </xf>
    <xf numFmtId="0" fontId="16" fillId="0" borderId="20" xfId="3" applyFont="1" applyBorder="1" applyAlignment="1">
      <alignment horizontal="center" vertical="center" wrapText="1"/>
    </xf>
    <xf numFmtId="0" fontId="33" fillId="0" borderId="33" xfId="3" applyFont="1" applyBorder="1" applyAlignment="1">
      <alignment horizontal="center" vertical="center" wrapText="1"/>
    </xf>
    <xf numFmtId="0" fontId="17" fillId="0" borderId="38" xfId="3" applyFont="1" applyBorder="1" applyAlignment="1">
      <alignment horizontal="center" vertical="center" wrapText="1"/>
    </xf>
    <xf numFmtId="0" fontId="17" fillId="0" borderId="39" xfId="3" applyFont="1" applyBorder="1" applyAlignment="1">
      <alignment horizontal="center" vertical="center" wrapText="1"/>
    </xf>
    <xf numFmtId="0" fontId="35" fillId="0" borderId="15" xfId="3" applyFont="1" applyBorder="1" applyAlignment="1">
      <alignment horizontal="center" vertical="center" wrapText="1"/>
    </xf>
    <xf numFmtId="38" fontId="33" fillId="0" borderId="6" xfId="3" applyNumberFormat="1" applyFont="1" applyBorder="1" applyAlignment="1">
      <alignment horizontal="center" vertical="center" wrapText="1"/>
    </xf>
    <xf numFmtId="38" fontId="33" fillId="0" borderId="7" xfId="3" applyNumberFormat="1" applyFont="1" applyBorder="1" applyAlignment="1">
      <alignment horizontal="center" vertical="center" wrapText="1"/>
    </xf>
    <xf numFmtId="38" fontId="33" fillId="0" borderId="8" xfId="3" applyNumberFormat="1" applyFont="1" applyBorder="1" applyAlignment="1">
      <alignment horizontal="center" vertical="center" wrapText="1"/>
    </xf>
    <xf numFmtId="0" fontId="33" fillId="0" borderId="6" xfId="3" applyFont="1" applyBorder="1" applyAlignment="1">
      <alignment horizontal="center" vertical="center" wrapText="1"/>
    </xf>
    <xf numFmtId="0" fontId="33" fillId="0" borderId="7" xfId="3" applyFont="1" applyBorder="1" applyAlignment="1">
      <alignment horizontal="center" vertical="center" wrapText="1"/>
    </xf>
    <xf numFmtId="0" fontId="33" fillId="0" borderId="8" xfId="3" applyFont="1" applyBorder="1" applyAlignment="1">
      <alignment horizontal="center" vertical="center" wrapText="1"/>
    </xf>
    <xf numFmtId="0" fontId="29" fillId="0" borderId="0" xfId="3" applyFont="1" applyAlignment="1">
      <alignment horizontal="center" vertical="center"/>
    </xf>
    <xf numFmtId="0" fontId="30" fillId="0" borderId="0" xfId="3" applyFont="1" applyAlignment="1">
      <alignment horizontal="center" vertical="center"/>
    </xf>
    <xf numFmtId="0" fontId="31" fillId="0" borderId="0" xfId="3" applyFont="1" applyAlignment="1">
      <alignment horizontal="center" vertical="center"/>
    </xf>
    <xf numFmtId="38" fontId="45" fillId="0" borderId="11" xfId="1" applyNumberFormat="1" applyFont="1" applyBorder="1" applyAlignment="1">
      <alignment horizontal="left" vertical="center" wrapText="1"/>
    </xf>
    <xf numFmtId="38" fontId="45" fillId="0" borderId="30" xfId="1" applyNumberFormat="1" applyFont="1" applyBorder="1" applyAlignment="1">
      <alignment horizontal="left" vertical="center" wrapText="1"/>
    </xf>
    <xf numFmtId="0" fontId="49" fillId="0" borderId="10" xfId="6" applyFont="1" applyBorder="1" applyAlignment="1">
      <alignment horizontal="left" vertical="center" wrapText="1"/>
    </xf>
    <xf numFmtId="0" fontId="49" fillId="0" borderId="11" xfId="6" applyFont="1" applyBorder="1" applyAlignment="1">
      <alignment horizontal="left" vertical="center" wrapText="1"/>
    </xf>
    <xf numFmtId="0" fontId="49" fillId="0" borderId="30" xfId="6" applyFont="1" applyBorder="1" applyAlignment="1">
      <alignment horizontal="left" vertical="center" wrapText="1"/>
    </xf>
    <xf numFmtId="0" fontId="49" fillId="0" borderId="35" xfId="6" applyFont="1" applyBorder="1" applyAlignment="1">
      <alignment horizontal="left" vertical="center" wrapText="1"/>
    </xf>
    <xf numFmtId="0" fontId="49" fillId="0" borderId="39" xfId="6" applyFont="1" applyBorder="1" applyAlignment="1">
      <alignment horizontal="left" vertical="center" wrapText="1"/>
    </xf>
    <xf numFmtId="0" fontId="49" fillId="0" borderId="40" xfId="6" applyFont="1" applyBorder="1" applyAlignment="1">
      <alignment horizontal="left" vertical="center" wrapText="1"/>
    </xf>
    <xf numFmtId="0" fontId="49" fillId="0" borderId="0" xfId="6" applyFont="1" applyAlignment="1">
      <alignment horizontal="center" vertical="center" wrapText="1"/>
    </xf>
    <xf numFmtId="38" fontId="47" fillId="0" borderId="11" xfId="1" applyNumberFormat="1" applyFont="1" applyBorder="1" applyAlignment="1">
      <alignment horizontal="center" vertical="center" wrapText="1"/>
    </xf>
    <xf numFmtId="38" fontId="47" fillId="0" borderId="30" xfId="1" applyNumberFormat="1" applyFont="1" applyBorder="1" applyAlignment="1">
      <alignment horizontal="center" vertical="center" wrapText="1"/>
    </xf>
    <xf numFmtId="0" fontId="49" fillId="0" borderId="39" xfId="6" applyFont="1" applyBorder="1" applyAlignment="1">
      <alignment horizontal="center" vertical="center" wrapText="1"/>
    </xf>
    <xf numFmtId="0" fontId="49" fillId="0" borderId="40" xfId="6" applyFont="1" applyBorder="1" applyAlignment="1">
      <alignment horizontal="center" vertical="center" wrapText="1"/>
    </xf>
    <xf numFmtId="0" fontId="43" fillId="0" borderId="14" xfId="5" applyFont="1" applyBorder="1" applyAlignment="1">
      <alignment horizontal="center" vertical="top"/>
    </xf>
    <xf numFmtId="0" fontId="43" fillId="0" borderId="24" xfId="5" applyFont="1" applyBorder="1" applyAlignment="1">
      <alignment horizontal="center" vertical="top"/>
    </xf>
    <xf numFmtId="0" fontId="43" fillId="0" borderId="32" xfId="5" applyFont="1" applyBorder="1" applyAlignment="1">
      <alignment horizontal="center" vertical="top"/>
    </xf>
    <xf numFmtId="0" fontId="44" fillId="0" borderId="17" xfId="6" applyFont="1" applyBorder="1" applyAlignment="1">
      <alignment horizontal="left" vertical="center" wrapText="1"/>
    </xf>
    <xf numFmtId="0" fontId="44" fillId="0" borderId="21" xfId="6" applyFont="1" applyBorder="1" applyAlignment="1">
      <alignment horizontal="left" vertical="center" wrapText="1"/>
    </xf>
    <xf numFmtId="0" fontId="44" fillId="0" borderId="22" xfId="6" applyFont="1" applyBorder="1" applyAlignment="1">
      <alignment horizontal="left" vertical="center" wrapText="1"/>
    </xf>
    <xf numFmtId="38" fontId="47" fillId="0" borderId="56" xfId="1" applyNumberFormat="1" applyFont="1" applyBorder="1" applyAlignment="1">
      <alignment horizontal="center" vertical="center" wrapText="1"/>
    </xf>
    <xf numFmtId="38" fontId="47" fillId="0" borderId="57" xfId="1" applyNumberFormat="1" applyFont="1" applyBorder="1" applyAlignment="1">
      <alignment horizontal="center" vertical="center" wrapText="1"/>
    </xf>
    <xf numFmtId="38" fontId="47" fillId="0" borderId="11" xfId="6" applyNumberFormat="1" applyFont="1" applyBorder="1" applyAlignment="1">
      <alignment horizontal="center" vertical="center" wrapText="1"/>
    </xf>
    <xf numFmtId="38" fontId="47" fillId="0" borderId="30" xfId="6" applyNumberFormat="1" applyFont="1" applyBorder="1" applyAlignment="1">
      <alignment horizontal="center" vertical="center" wrapText="1"/>
    </xf>
    <xf numFmtId="164" fontId="47" fillId="0" borderId="11" xfId="2" applyNumberFormat="1" applyFont="1" applyBorder="1" applyAlignment="1">
      <alignment horizontal="center" vertical="center" wrapText="1"/>
    </xf>
    <xf numFmtId="164" fontId="47" fillId="0" borderId="30" xfId="2" applyNumberFormat="1" applyFont="1" applyBorder="1" applyAlignment="1">
      <alignment horizontal="center" vertical="center" wrapText="1"/>
    </xf>
    <xf numFmtId="40" fontId="47" fillId="0" borderId="11" xfId="6" applyNumberFormat="1" applyFont="1" applyBorder="1" applyAlignment="1">
      <alignment horizontal="center" vertical="center" wrapText="1"/>
    </xf>
    <xf numFmtId="0" fontId="47" fillId="0" borderId="11" xfId="6" applyFont="1" applyBorder="1" applyAlignment="1">
      <alignment horizontal="center" vertical="center" wrapText="1"/>
    </xf>
    <xf numFmtId="0" fontId="47" fillId="0" borderId="30" xfId="6" applyFont="1" applyBorder="1" applyAlignment="1">
      <alignment horizontal="center" vertical="center" wrapText="1"/>
    </xf>
    <xf numFmtId="9" fontId="47" fillId="0" borderId="27" xfId="2" applyFont="1" applyBorder="1" applyAlignment="1">
      <alignment horizontal="center" vertical="center" wrapText="1"/>
    </xf>
    <xf numFmtId="9" fontId="47" fillId="0" borderId="10" xfId="2" applyFont="1" applyBorder="1" applyAlignment="1">
      <alignment horizontal="center" vertical="center" wrapText="1"/>
    </xf>
    <xf numFmtId="38" fontId="47" fillId="0" borderId="27" xfId="1" applyNumberFormat="1" applyFont="1" applyBorder="1" applyAlignment="1">
      <alignment horizontal="center" vertical="center" wrapText="1"/>
    </xf>
    <xf numFmtId="38" fontId="47" fillId="0" borderId="10" xfId="1" applyNumberFormat="1" applyFont="1" applyBorder="1" applyAlignment="1">
      <alignment horizontal="center" vertical="center" wrapText="1"/>
    </xf>
    <xf numFmtId="38" fontId="47" fillId="0" borderId="26" xfId="1" applyNumberFormat="1" applyFont="1" applyBorder="1" applyAlignment="1">
      <alignment horizontal="center" vertical="center" wrapText="1"/>
    </xf>
    <xf numFmtId="38" fontId="47" fillId="0" borderId="28" xfId="1" applyNumberFormat="1" applyFont="1" applyBorder="1" applyAlignment="1">
      <alignment horizontal="center" vertical="center" wrapText="1"/>
    </xf>
    <xf numFmtId="9" fontId="47" fillId="0" borderId="36" xfId="2" applyFont="1" applyBorder="1" applyAlignment="1">
      <alignment horizontal="center" vertical="center" wrapText="1"/>
    </xf>
    <xf numFmtId="9" fontId="47" fillId="0" borderId="35" xfId="2" applyFont="1" applyBorder="1" applyAlignment="1">
      <alignment horizontal="center" vertical="center" wrapText="1"/>
    </xf>
    <xf numFmtId="38" fontId="47" fillId="0" borderId="36" xfId="1" applyNumberFormat="1" applyFont="1" applyBorder="1" applyAlignment="1">
      <alignment horizontal="center" vertical="center" wrapText="1"/>
    </xf>
    <xf numFmtId="38" fontId="47" fillId="0" borderId="35" xfId="1" applyNumberFormat="1" applyFont="1" applyBorder="1" applyAlignment="1">
      <alignment horizontal="center" vertical="center" wrapText="1"/>
    </xf>
    <xf numFmtId="38" fontId="47" fillId="0" borderId="34" xfId="1" applyNumberFormat="1" applyFont="1" applyBorder="1" applyAlignment="1">
      <alignment horizontal="center" vertical="center" wrapText="1"/>
    </xf>
    <xf numFmtId="38" fontId="47" fillId="0" borderId="37" xfId="1" applyNumberFormat="1" applyFont="1" applyBorder="1" applyAlignment="1">
      <alignment horizontal="center" vertical="center" wrapText="1"/>
    </xf>
    <xf numFmtId="40" fontId="47" fillId="0" borderId="27" xfId="1" applyFont="1" applyBorder="1" applyAlignment="1">
      <alignment horizontal="center" vertical="center" wrapText="1"/>
    </xf>
    <xf numFmtId="40" fontId="47" fillId="0" borderId="10" xfId="1" applyFont="1" applyBorder="1" applyAlignment="1">
      <alignment horizontal="center" vertical="center" wrapText="1"/>
    </xf>
    <xf numFmtId="38" fontId="47" fillId="0" borderId="18" xfId="1" applyNumberFormat="1" applyFont="1" applyBorder="1" applyAlignment="1">
      <alignment horizontal="center" vertical="center" wrapText="1"/>
    </xf>
    <xf numFmtId="38" fontId="47" fillId="0" borderId="17" xfId="1" applyNumberFormat="1" applyFont="1" applyBorder="1" applyAlignment="1">
      <alignment horizontal="center" vertical="center" wrapText="1"/>
    </xf>
    <xf numFmtId="38" fontId="47" fillId="0" borderId="16" xfId="1" applyNumberFormat="1" applyFont="1" applyBorder="1" applyAlignment="1">
      <alignment horizontal="center" vertical="center" wrapText="1"/>
    </xf>
    <xf numFmtId="38" fontId="47" fillId="0" borderId="19" xfId="1" applyNumberFormat="1" applyFont="1" applyBorder="1" applyAlignment="1">
      <alignment horizontal="center" vertical="center" wrapText="1"/>
    </xf>
    <xf numFmtId="40" fontId="47" fillId="0" borderId="26" xfId="1" applyFont="1" applyBorder="1" applyAlignment="1">
      <alignment horizontal="center" vertical="center" wrapText="1"/>
    </xf>
    <xf numFmtId="40" fontId="47" fillId="0" borderId="28" xfId="1" applyFont="1" applyBorder="1" applyAlignment="1">
      <alignment horizontal="center" vertical="center" wrapText="1"/>
    </xf>
    <xf numFmtId="9" fontId="47" fillId="0" borderId="26" xfId="2" applyFont="1" applyBorder="1" applyAlignment="1">
      <alignment horizontal="center" vertical="center" wrapText="1"/>
    </xf>
    <xf numFmtId="9" fontId="47" fillId="0" borderId="28" xfId="2" applyFont="1" applyBorder="1" applyAlignment="1">
      <alignment horizontal="center" vertical="center" wrapText="1"/>
    </xf>
    <xf numFmtId="165" fontId="47" fillId="0" borderId="11" xfId="1" applyNumberFormat="1" applyFont="1" applyBorder="1" applyAlignment="1">
      <alignment horizontal="right" vertical="center" wrapText="1"/>
    </xf>
    <xf numFmtId="165" fontId="47" fillId="0" borderId="30" xfId="1" applyNumberFormat="1" applyFont="1" applyBorder="1" applyAlignment="1">
      <alignment horizontal="right" vertical="center" wrapText="1"/>
    </xf>
    <xf numFmtId="38" fontId="47" fillId="0" borderId="39" xfId="1" applyNumberFormat="1" applyFont="1" applyBorder="1" applyAlignment="1">
      <alignment horizontal="center" vertical="center" wrapText="1"/>
    </xf>
    <xf numFmtId="38" fontId="47" fillId="0" borderId="40" xfId="1" applyNumberFormat="1" applyFont="1" applyBorder="1" applyAlignment="1">
      <alignment horizontal="center" vertical="center" wrapText="1"/>
    </xf>
    <xf numFmtId="0" fontId="45" fillId="0" borderId="11" xfId="6" applyFont="1" applyBorder="1" applyAlignment="1">
      <alignment horizontal="center" vertical="center" wrapText="1"/>
    </xf>
    <xf numFmtId="0" fontId="45" fillId="0" borderId="30" xfId="6" applyFont="1" applyBorder="1" applyAlignment="1">
      <alignment horizontal="center" vertical="center" wrapText="1"/>
    </xf>
    <xf numFmtId="0" fontId="45" fillId="0" borderId="39" xfId="6" applyFont="1" applyBorder="1" applyAlignment="1">
      <alignment horizontal="center" vertical="center" wrapText="1"/>
    </xf>
    <xf numFmtId="0" fontId="45" fillId="0" borderId="40" xfId="6" applyFont="1" applyBorder="1" applyAlignment="1">
      <alignment horizontal="center" vertical="center" wrapText="1"/>
    </xf>
    <xf numFmtId="165" fontId="47" fillId="0" borderId="69" xfId="6" applyNumberFormat="1" applyFont="1" applyBorder="1" applyAlignment="1">
      <alignment horizontal="center" vertical="center" wrapText="1"/>
    </xf>
    <xf numFmtId="0" fontId="47" fillId="0" borderId="69" xfId="6" applyFont="1" applyBorder="1" applyAlignment="1">
      <alignment horizontal="center" vertical="center" wrapText="1"/>
    </xf>
    <xf numFmtId="0" fontId="47" fillId="0" borderId="70" xfId="6" applyFont="1" applyBorder="1" applyAlignment="1">
      <alignment horizontal="center" vertical="center" wrapText="1"/>
    </xf>
    <xf numFmtId="0" fontId="43" fillId="0" borderId="5" xfId="5" applyFont="1" applyBorder="1" applyAlignment="1">
      <alignment horizontal="center" vertical="top"/>
    </xf>
    <xf numFmtId="0" fontId="44" fillId="0" borderId="53" xfId="6" applyFont="1" applyBorder="1" applyAlignment="1">
      <alignment horizontal="left" vertical="center" wrapText="1"/>
    </xf>
    <xf numFmtId="0" fontId="44" fillId="0" borderId="54" xfId="6" applyFont="1" applyBorder="1" applyAlignment="1">
      <alignment horizontal="left" vertical="center" wrapText="1"/>
    </xf>
    <xf numFmtId="0" fontId="44" fillId="0" borderId="55" xfId="6" applyFont="1" applyBorder="1" applyAlignment="1">
      <alignment horizontal="left" vertical="center" wrapText="1"/>
    </xf>
    <xf numFmtId="165" fontId="47" fillId="0" borderId="21" xfId="1" applyNumberFormat="1" applyFont="1" applyBorder="1" applyAlignment="1">
      <alignment horizontal="center" vertical="center" wrapText="1"/>
    </xf>
    <xf numFmtId="165" fontId="47" fillId="0" borderId="22" xfId="1" applyNumberFormat="1" applyFont="1" applyBorder="1" applyAlignment="1">
      <alignment horizontal="center" vertical="center" wrapText="1"/>
    </xf>
    <xf numFmtId="38" fontId="45" fillId="0" borderId="11" xfId="1" applyNumberFormat="1" applyFont="1" applyBorder="1" applyAlignment="1">
      <alignment horizontal="center" vertical="center" wrapText="1"/>
    </xf>
    <xf numFmtId="38" fontId="45" fillId="0" borderId="39" xfId="1" applyNumberFormat="1" applyFont="1" applyBorder="1" applyAlignment="1">
      <alignment horizontal="center" vertical="center" wrapText="1"/>
    </xf>
    <xf numFmtId="165" fontId="47" fillId="0" borderId="30" xfId="1" applyNumberFormat="1" applyFont="1" applyBorder="1" applyAlignment="1">
      <alignment horizontal="center" vertical="center" wrapText="1"/>
    </xf>
    <xf numFmtId="165" fontId="47" fillId="0" borderId="40" xfId="1" applyNumberFormat="1" applyFont="1" applyBorder="1" applyAlignment="1">
      <alignment horizontal="center" vertical="center" wrapText="1"/>
    </xf>
    <xf numFmtId="0" fontId="45" fillId="0" borderId="11" xfId="6" applyFont="1" applyBorder="1" applyAlignment="1">
      <alignment horizontal="right" vertical="center" wrapText="1"/>
    </xf>
    <xf numFmtId="0" fontId="45" fillId="0" borderId="30" xfId="6" applyFont="1" applyBorder="1" applyAlignment="1">
      <alignment horizontal="right" vertical="center" wrapText="1"/>
    </xf>
    <xf numFmtId="0" fontId="45" fillId="0" borderId="39" xfId="6" applyFont="1" applyBorder="1" applyAlignment="1">
      <alignment horizontal="right" vertical="center" wrapText="1"/>
    </xf>
    <xf numFmtId="0" fontId="45" fillId="0" borderId="40" xfId="6" applyFont="1" applyBorder="1" applyAlignment="1">
      <alignment horizontal="right" vertical="center" wrapText="1"/>
    </xf>
    <xf numFmtId="38" fontId="45" fillId="0" borderId="56" xfId="6" applyNumberFormat="1" applyFont="1" applyBorder="1" applyAlignment="1">
      <alignment horizontal="center" vertical="center" wrapText="1"/>
    </xf>
    <xf numFmtId="0" fontId="45" fillId="0" borderId="56" xfId="6" applyFont="1" applyBorder="1" applyAlignment="1">
      <alignment horizontal="center" vertical="center" wrapText="1"/>
    </xf>
    <xf numFmtId="0" fontId="45" fillId="0" borderId="57" xfId="6" applyFont="1" applyBorder="1" applyAlignment="1">
      <alignment horizontal="center" vertical="center" wrapText="1"/>
    </xf>
    <xf numFmtId="0" fontId="45" fillId="0" borderId="21" xfId="6" applyFont="1" applyBorder="1" applyAlignment="1">
      <alignment horizontal="center" vertical="center" wrapText="1"/>
    </xf>
    <xf numFmtId="0" fontId="45" fillId="0" borderId="22" xfId="6" applyFont="1" applyBorder="1" applyAlignment="1">
      <alignment horizontal="center" vertical="center" wrapText="1"/>
    </xf>
    <xf numFmtId="165" fontId="47" fillId="0" borderId="11" xfId="1" applyNumberFormat="1" applyFont="1" applyBorder="1" applyAlignment="1">
      <alignment horizontal="center" vertical="center" wrapText="1"/>
    </xf>
    <xf numFmtId="0" fontId="45" fillId="0" borderId="59" xfId="6" applyFont="1" applyBorder="1" applyAlignment="1">
      <alignment horizontal="center" vertical="center" wrapText="1"/>
    </xf>
    <xf numFmtId="0" fontId="45" fillId="0" borderId="60" xfId="6" applyFont="1" applyBorder="1" applyAlignment="1">
      <alignment horizontal="center" vertical="center" wrapText="1"/>
    </xf>
    <xf numFmtId="40" fontId="45" fillId="0" borderId="11" xfId="6" applyNumberFormat="1" applyFont="1" applyBorder="1" applyAlignment="1">
      <alignment horizontal="center" vertical="center" wrapText="1"/>
    </xf>
    <xf numFmtId="40" fontId="45" fillId="0" borderId="30" xfId="6" applyNumberFormat="1" applyFont="1" applyBorder="1" applyAlignment="1">
      <alignment horizontal="center" vertical="center" wrapText="1"/>
    </xf>
    <xf numFmtId="1" fontId="45" fillId="0" borderId="11" xfId="6" applyNumberFormat="1" applyFont="1" applyBorder="1" applyAlignment="1">
      <alignment horizontal="center" vertical="center" wrapText="1"/>
    </xf>
    <xf numFmtId="1" fontId="45" fillId="0" borderId="30" xfId="6" applyNumberFormat="1" applyFont="1" applyBorder="1" applyAlignment="1">
      <alignment horizontal="center" vertical="center" wrapText="1"/>
    </xf>
    <xf numFmtId="40" fontId="45" fillId="0" borderId="11" xfId="1" applyFont="1" applyBorder="1" applyAlignment="1">
      <alignment horizontal="center" vertical="center" wrapText="1"/>
    </xf>
    <xf numFmtId="40" fontId="45" fillId="0" borderId="30" xfId="1" applyFont="1" applyBorder="1" applyAlignment="1">
      <alignment horizontal="center" vertical="center" wrapText="1"/>
    </xf>
    <xf numFmtId="0" fontId="56" fillId="0" borderId="11" xfId="6" applyFont="1" applyBorder="1" applyAlignment="1">
      <alignment horizontal="center" vertical="center" wrapText="1"/>
    </xf>
    <xf numFmtId="0" fontId="56" fillId="0" borderId="30" xfId="6" applyFont="1" applyBorder="1" applyAlignment="1">
      <alignment horizontal="center" vertical="center" wrapText="1"/>
    </xf>
    <xf numFmtId="0" fontId="52" fillId="0" borderId="39" xfId="6" applyFont="1" applyBorder="1" applyAlignment="1">
      <alignment horizontal="center" vertical="center" wrapText="1"/>
    </xf>
    <xf numFmtId="0" fontId="52" fillId="0" borderId="40" xfId="6" applyFont="1" applyBorder="1" applyAlignment="1">
      <alignment horizontal="center" vertical="center" wrapText="1"/>
    </xf>
    <xf numFmtId="0" fontId="47" fillId="0" borderId="27" xfId="6" applyFont="1" applyBorder="1" applyAlignment="1">
      <alignment horizontal="center" vertical="center" wrapText="1"/>
    </xf>
    <xf numFmtId="0" fontId="47" fillId="0" borderId="26" xfId="6" applyFont="1" applyBorder="1" applyAlignment="1">
      <alignment horizontal="center" vertical="center" wrapText="1"/>
    </xf>
    <xf numFmtId="0" fontId="47" fillId="0" borderId="10" xfId="6" applyFont="1" applyBorder="1" applyAlignment="1">
      <alignment horizontal="center" vertical="center" wrapText="1"/>
    </xf>
    <xf numFmtId="0" fontId="52" fillId="0" borderId="27" xfId="6" applyFont="1" applyBorder="1" applyAlignment="1">
      <alignment horizontal="center" vertical="center" wrapText="1"/>
    </xf>
    <xf numFmtId="0" fontId="52" fillId="0" borderId="26" xfId="6" applyFont="1" applyBorder="1" applyAlignment="1">
      <alignment horizontal="center" vertical="center" wrapText="1"/>
    </xf>
    <xf numFmtId="0" fontId="52" fillId="0" borderId="10" xfId="6" applyFont="1" applyBorder="1" applyAlignment="1">
      <alignment horizontal="center" vertical="center" wrapText="1"/>
    </xf>
    <xf numFmtId="0" fontId="52" fillId="0" borderId="28" xfId="6" applyFont="1" applyBorder="1" applyAlignment="1">
      <alignment horizontal="center" vertical="center" wrapText="1"/>
    </xf>
    <xf numFmtId="0" fontId="47" fillId="0" borderId="28" xfId="6" applyFont="1" applyBorder="1" applyAlignment="1">
      <alignment horizontal="center" vertical="center" wrapText="1"/>
    </xf>
    <xf numFmtId="0" fontId="47" fillId="0" borderId="29" xfId="6" applyFont="1" applyBorder="1" applyAlignment="1">
      <alignment horizontal="center" vertical="center" wrapText="1"/>
    </xf>
    <xf numFmtId="38" fontId="49" fillId="0" borderId="27" xfId="1" applyNumberFormat="1" applyFont="1" applyBorder="1" applyAlignment="1">
      <alignment horizontal="center" vertical="center" wrapText="1"/>
    </xf>
    <xf numFmtId="38" fontId="49" fillId="0" borderId="26" xfId="1" applyNumberFormat="1" applyFont="1" applyBorder="1" applyAlignment="1">
      <alignment horizontal="center" vertical="center" wrapText="1"/>
    </xf>
    <xf numFmtId="38" fontId="49" fillId="0" borderId="28" xfId="1" applyNumberFormat="1" applyFont="1" applyBorder="1" applyAlignment="1">
      <alignment horizontal="center" vertical="center" wrapText="1"/>
    </xf>
    <xf numFmtId="38" fontId="49" fillId="0" borderId="39" xfId="1" applyNumberFormat="1" applyFont="1" applyBorder="1" applyAlignment="1">
      <alignment horizontal="center" vertical="center" wrapText="1"/>
    </xf>
    <xf numFmtId="38" fontId="49" fillId="0" borderId="40" xfId="1" applyNumberFormat="1" applyFont="1" applyBorder="1" applyAlignment="1">
      <alignment horizontal="center" vertical="center" wrapText="1"/>
    </xf>
    <xf numFmtId="0" fontId="47" fillId="0" borderId="18" xfId="6" applyFont="1" applyBorder="1" applyAlignment="1">
      <alignment horizontal="center" vertical="center" wrapText="1"/>
    </xf>
    <xf numFmtId="0" fontId="47" fillId="0" borderId="16" xfId="6" applyFont="1" applyBorder="1" applyAlignment="1">
      <alignment horizontal="center" vertical="center" wrapText="1"/>
    </xf>
    <xf numFmtId="0" fontId="47" fillId="0" borderId="19" xfId="6" applyFont="1" applyBorder="1" applyAlignment="1">
      <alignment horizontal="center" vertical="center" wrapText="1"/>
    </xf>
    <xf numFmtId="0" fontId="45" fillId="0" borderId="27" xfId="6" applyFont="1" applyBorder="1" applyAlignment="1">
      <alignment horizontal="center" vertical="center" wrapText="1"/>
    </xf>
    <xf numFmtId="0" fontId="45" fillId="0" borderId="26" xfId="6" applyFont="1" applyBorder="1" applyAlignment="1">
      <alignment horizontal="center" vertical="center" wrapText="1"/>
    </xf>
    <xf numFmtId="0" fontId="45" fillId="0" borderId="28" xfId="6" applyFont="1" applyBorder="1" applyAlignment="1">
      <alignment horizontal="center" vertical="center" wrapText="1"/>
    </xf>
    <xf numFmtId="0" fontId="45" fillId="0" borderId="10" xfId="6" applyFont="1" applyBorder="1" applyAlignment="1">
      <alignment horizontal="center" vertical="center" wrapText="1"/>
    </xf>
    <xf numFmtId="38" fontId="45" fillId="0" borderId="27" xfId="1" applyNumberFormat="1" applyFont="1" applyBorder="1" applyAlignment="1">
      <alignment horizontal="center" vertical="center" wrapText="1"/>
    </xf>
    <xf numFmtId="38" fontId="45" fillId="0" borderId="10" xfId="1" applyNumberFormat="1" applyFont="1" applyBorder="1" applyAlignment="1">
      <alignment horizontal="center" vertical="center" wrapText="1"/>
    </xf>
    <xf numFmtId="40" fontId="47" fillId="0" borderId="11" xfId="1" applyFont="1" applyBorder="1" applyAlignment="1">
      <alignment horizontal="center" vertical="center" wrapText="1"/>
    </xf>
    <xf numFmtId="40" fontId="47" fillId="0" borderId="30" xfId="1" applyFont="1" applyBorder="1" applyAlignment="1">
      <alignment horizontal="center" vertical="center" wrapText="1"/>
    </xf>
    <xf numFmtId="0" fontId="49" fillId="0" borderId="11" xfId="6" applyFont="1" applyBorder="1" applyAlignment="1">
      <alignment horizontal="center" vertical="center" wrapText="1"/>
    </xf>
    <xf numFmtId="0" fontId="49" fillId="0" borderId="30" xfId="6" applyFont="1" applyBorder="1" applyAlignment="1">
      <alignment horizontal="center" vertical="center" wrapText="1"/>
    </xf>
    <xf numFmtId="38" fontId="49" fillId="0" borderId="11" xfId="1" applyNumberFormat="1" applyFont="1" applyBorder="1" applyAlignment="1">
      <alignment horizontal="center" vertical="center" wrapText="1"/>
    </xf>
    <xf numFmtId="38" fontId="49" fillId="0" borderId="30" xfId="1" applyNumberFormat="1" applyFont="1" applyBorder="1" applyAlignment="1">
      <alignment horizontal="center" vertical="center" wrapText="1"/>
    </xf>
    <xf numFmtId="170" fontId="47" fillId="0" borderId="27" xfId="6" applyNumberFormat="1" applyFont="1" applyBorder="1" applyAlignment="1">
      <alignment horizontal="center" vertical="center" wrapText="1"/>
    </xf>
    <xf numFmtId="38" fontId="47" fillId="0" borderId="67" xfId="6" applyNumberFormat="1" applyFont="1" applyBorder="1" applyAlignment="1">
      <alignment horizontal="center" vertical="center" wrapText="1"/>
    </xf>
    <xf numFmtId="0" fontId="47" fillId="0" borderId="48" xfId="6" applyFont="1" applyBorder="1" applyAlignment="1">
      <alignment horizontal="center" vertical="center" wrapText="1"/>
    </xf>
    <xf numFmtId="0" fontId="47" fillId="0" borderId="68" xfId="6" applyFont="1" applyBorder="1" applyAlignment="1">
      <alignment horizontal="center" vertical="center" wrapText="1"/>
    </xf>
    <xf numFmtId="170" fontId="47" fillId="0" borderId="26" xfId="6" applyNumberFormat="1" applyFont="1" applyBorder="1" applyAlignment="1">
      <alignment horizontal="center" vertical="center" wrapText="1"/>
    </xf>
    <xf numFmtId="170" fontId="47" fillId="0" borderId="10" xfId="6" applyNumberFormat="1" applyFont="1" applyBorder="1" applyAlignment="1">
      <alignment horizontal="center" vertical="center" wrapText="1"/>
    </xf>
    <xf numFmtId="38" fontId="47" fillId="0" borderId="36" xfId="6" applyNumberFormat="1" applyFont="1" applyBorder="1" applyAlignment="1">
      <alignment horizontal="center" vertical="center" wrapText="1"/>
    </xf>
    <xf numFmtId="0" fontId="47" fillId="0" borderId="34" xfId="6" applyFont="1" applyBorder="1" applyAlignment="1">
      <alignment horizontal="center" vertical="center" wrapText="1"/>
    </xf>
    <xf numFmtId="0" fontId="47" fillId="0" borderId="35" xfId="6" applyFont="1" applyBorder="1" applyAlignment="1">
      <alignment horizontal="center" vertical="center" wrapText="1"/>
    </xf>
    <xf numFmtId="0" fontId="49" fillId="0" borderId="62" xfId="6" applyFont="1" applyBorder="1" applyAlignment="1">
      <alignment horizontal="center" vertical="center" wrapText="1"/>
    </xf>
    <xf numFmtId="0" fontId="49" fillId="0" borderId="56" xfId="6" applyFont="1" applyBorder="1" applyAlignment="1">
      <alignment horizontal="center" vertical="center" wrapText="1"/>
    </xf>
    <xf numFmtId="0" fontId="49" fillId="0" borderId="57" xfId="6" applyFont="1" applyBorder="1" applyAlignment="1">
      <alignment horizontal="center" vertical="center" wrapText="1"/>
    </xf>
    <xf numFmtId="0" fontId="56" fillId="0" borderId="11" xfId="6" applyFont="1" applyBorder="1" applyAlignment="1">
      <alignment horizontal="center" vertical="top" wrapText="1"/>
    </xf>
    <xf numFmtId="0" fontId="56" fillId="0" borderId="30" xfId="6" applyFont="1" applyBorder="1" applyAlignment="1">
      <alignment horizontal="center" vertical="top" wrapText="1"/>
    </xf>
    <xf numFmtId="0" fontId="49" fillId="0" borderId="29" xfId="6" applyFont="1" applyBorder="1" applyAlignment="1">
      <alignment horizontal="center" vertical="center" wrapText="1"/>
    </xf>
    <xf numFmtId="172" fontId="47" fillId="0" borderId="27" xfId="1" applyNumberFormat="1" applyFont="1" applyBorder="1" applyAlignment="1">
      <alignment horizontal="center" vertical="center" wrapText="1"/>
    </xf>
    <xf numFmtId="172" fontId="47" fillId="0" borderId="10" xfId="1" applyNumberFormat="1" applyFont="1" applyBorder="1" applyAlignment="1">
      <alignment horizontal="center" vertical="center" wrapText="1"/>
    </xf>
    <xf numFmtId="0" fontId="59" fillId="0" borderId="27" xfId="4" applyBorder="1" applyAlignment="1" applyProtection="1">
      <alignment horizontal="center" vertical="center" wrapText="1"/>
    </xf>
    <xf numFmtId="0" fontId="59" fillId="0" borderId="10" xfId="4" applyBorder="1" applyAlignment="1" applyProtection="1">
      <alignment horizontal="center" vertical="center" wrapText="1"/>
    </xf>
    <xf numFmtId="0" fontId="0" fillId="0" borderId="10" xfId="0" applyBorder="1" applyAlignment="1">
      <alignment horizontal="center" vertical="center" wrapText="1"/>
    </xf>
    <xf numFmtId="0" fontId="59" fillId="0" borderId="26" xfId="4" applyBorder="1" applyAlignment="1" applyProtection="1">
      <alignment horizontal="center" vertical="center" wrapText="1"/>
    </xf>
    <xf numFmtId="0" fontId="59" fillId="0" borderId="28" xfId="4" applyBorder="1" applyAlignment="1" applyProtection="1">
      <alignment horizontal="center" vertical="center" wrapText="1"/>
    </xf>
    <xf numFmtId="38" fontId="56" fillId="0" borderId="27" xfId="1" applyNumberFormat="1" applyFont="1" applyBorder="1" applyAlignment="1">
      <alignment horizontal="center" vertical="center" wrapText="1"/>
    </xf>
    <xf numFmtId="38" fontId="56" fillId="0" borderId="10" xfId="1" applyNumberFormat="1" applyFont="1" applyBorder="1" applyAlignment="1">
      <alignment horizontal="center" vertical="center" wrapText="1"/>
    </xf>
    <xf numFmtId="38" fontId="56" fillId="0" borderId="26" xfId="1" applyNumberFormat="1" applyFont="1" applyBorder="1" applyAlignment="1">
      <alignment horizontal="center" vertical="center" wrapText="1"/>
    </xf>
    <xf numFmtId="38" fontId="56" fillId="0" borderId="28" xfId="1" applyNumberFormat="1" applyFont="1" applyBorder="1" applyAlignment="1">
      <alignment horizontal="center" vertical="center" wrapText="1"/>
    </xf>
    <xf numFmtId="0" fontId="47" fillId="0" borderId="58" xfId="6" applyFont="1" applyBorder="1" applyAlignment="1">
      <alignment horizontal="center" vertical="center" wrapText="1"/>
    </xf>
    <xf numFmtId="0" fontId="47" fillId="0" borderId="62" xfId="6" applyFont="1" applyBorder="1" applyAlignment="1">
      <alignment horizontal="center" vertical="center" wrapText="1"/>
    </xf>
    <xf numFmtId="0" fontId="58" fillId="0" borderId="27" xfId="0" applyFont="1" applyBorder="1" applyAlignment="1">
      <alignment horizontal="center" wrapText="1"/>
    </xf>
    <xf numFmtId="0" fontId="58" fillId="0" borderId="26" xfId="0" applyFont="1" applyBorder="1" applyAlignment="1">
      <alignment horizontal="center" wrapText="1"/>
    </xf>
    <xf numFmtId="0" fontId="58" fillId="0" borderId="28" xfId="0" applyFont="1" applyBorder="1" applyAlignment="1">
      <alignment horizontal="center" wrapText="1"/>
    </xf>
    <xf numFmtId="38" fontId="45" fillId="0" borderId="27" xfId="1" applyNumberFormat="1" applyFont="1" applyBorder="1" applyAlignment="1">
      <alignment horizontal="center" wrapText="1"/>
    </xf>
    <xf numFmtId="38" fontId="45" fillId="0" borderId="10" xfId="1" applyNumberFormat="1" applyFont="1" applyBorder="1" applyAlignment="1">
      <alignment horizontal="center" wrapText="1"/>
    </xf>
    <xf numFmtId="165" fontId="45" fillId="0" borderId="11" xfId="6" applyNumberFormat="1" applyFont="1" applyBorder="1" applyAlignment="1">
      <alignment horizontal="center" vertical="center" wrapText="1"/>
    </xf>
    <xf numFmtId="165" fontId="45" fillId="0" borderId="30" xfId="6" applyNumberFormat="1" applyFont="1" applyBorder="1" applyAlignment="1">
      <alignment horizontal="center" vertical="center" wrapText="1"/>
    </xf>
    <xf numFmtId="9" fontId="47" fillId="0" borderId="11" xfId="2" applyFont="1" applyBorder="1" applyAlignment="1">
      <alignment horizontal="center" vertical="center" wrapText="1"/>
    </xf>
    <xf numFmtId="9" fontId="47" fillId="0" borderId="30" xfId="2" applyFont="1" applyBorder="1" applyAlignment="1">
      <alignment horizontal="center" vertical="center" wrapText="1"/>
    </xf>
    <xf numFmtId="171" fontId="47" fillId="0" borderId="39" xfId="2" applyNumberFormat="1" applyFont="1" applyBorder="1" applyAlignment="1">
      <alignment horizontal="center" vertical="center" wrapText="1"/>
    </xf>
    <xf numFmtId="10" fontId="47" fillId="0" borderId="39" xfId="2" applyNumberFormat="1" applyFont="1" applyBorder="1" applyAlignment="1">
      <alignment horizontal="center" vertical="center" wrapText="1"/>
    </xf>
    <xf numFmtId="10" fontId="47" fillId="0" borderId="40" xfId="2" applyNumberFormat="1" applyFont="1" applyBorder="1" applyAlignment="1">
      <alignment horizontal="center" vertical="center" wrapText="1"/>
    </xf>
    <xf numFmtId="0" fontId="45" fillId="0" borderId="29" xfId="6" applyFont="1" applyBorder="1" applyAlignment="1">
      <alignment horizontal="center" vertical="center" wrapText="1"/>
    </xf>
    <xf numFmtId="169" fontId="47" fillId="0" borderId="39" xfId="6" applyNumberFormat="1" applyFont="1" applyBorder="1" applyAlignment="1">
      <alignment horizontal="center" vertical="center" wrapText="1"/>
    </xf>
    <xf numFmtId="169" fontId="47" fillId="0" borderId="40" xfId="6" applyNumberFormat="1" applyFont="1" applyBorder="1" applyAlignment="1">
      <alignment horizontal="center" vertical="center" wrapText="1"/>
    </xf>
    <xf numFmtId="0" fontId="57" fillId="0" borderId="62" xfId="6" applyFont="1" applyBorder="1" applyAlignment="1">
      <alignment horizontal="center" vertical="center" wrapText="1"/>
    </xf>
    <xf numFmtId="0" fontId="57" fillId="0" borderId="56" xfId="6" applyFont="1" applyBorder="1" applyAlignment="1">
      <alignment horizontal="center" vertical="center" wrapText="1"/>
    </xf>
    <xf numFmtId="0" fontId="57" fillId="0" borderId="57" xfId="6" applyFont="1" applyBorder="1" applyAlignment="1">
      <alignment horizontal="center" vertical="center" wrapText="1"/>
    </xf>
    <xf numFmtId="167" fontId="52" fillId="0" borderId="27" xfId="1" applyNumberFormat="1" applyFont="1" applyBorder="1" applyAlignment="1">
      <alignment horizontal="center" vertical="center" wrapText="1"/>
    </xf>
    <xf numFmtId="167" fontId="52" fillId="0" borderId="10" xfId="1" applyNumberFormat="1" applyFont="1" applyBorder="1" applyAlignment="1">
      <alignment horizontal="center" vertical="center" wrapText="1"/>
    </xf>
    <xf numFmtId="9" fontId="52" fillId="0" borderId="27" xfId="6" applyNumberFormat="1" applyFont="1" applyBorder="1" applyAlignment="1">
      <alignment horizontal="center" vertical="center" wrapText="1"/>
    </xf>
    <xf numFmtId="9" fontId="52" fillId="0" borderId="10" xfId="6" applyNumberFormat="1" applyFont="1" applyBorder="1" applyAlignment="1">
      <alignment horizontal="center" vertical="center" wrapText="1"/>
    </xf>
    <xf numFmtId="38" fontId="52" fillId="0" borderId="27" xfId="1" applyNumberFormat="1" applyFont="1" applyBorder="1" applyAlignment="1">
      <alignment horizontal="center" vertical="center" wrapText="1"/>
    </xf>
    <xf numFmtId="38" fontId="52" fillId="0" borderId="10" xfId="1" applyNumberFormat="1" applyFont="1" applyBorder="1" applyAlignment="1">
      <alignment horizontal="center" vertical="center" wrapText="1"/>
    </xf>
    <xf numFmtId="0" fontId="55" fillId="0" borderId="64" xfId="6" applyFont="1" applyBorder="1" applyAlignment="1">
      <alignment horizontal="center" vertical="center" wrapText="1"/>
    </xf>
    <xf numFmtId="0" fontId="55" fillId="0" borderId="65" xfId="6" applyFont="1" applyBorder="1" applyAlignment="1">
      <alignment horizontal="center" vertical="center" wrapText="1"/>
    </xf>
    <xf numFmtId="0" fontId="55" fillId="0" borderId="66" xfId="6" applyFont="1" applyBorder="1" applyAlignment="1">
      <alignment horizontal="center" vertical="center" wrapText="1"/>
    </xf>
    <xf numFmtId="0" fontId="45" fillId="0" borderId="62" xfId="6" applyFont="1" applyBorder="1" applyAlignment="1">
      <alignment horizontal="center" vertical="center" wrapText="1"/>
    </xf>
    <xf numFmtId="9" fontId="45" fillId="0" borderId="11" xfId="1" applyNumberFormat="1" applyFont="1" applyBorder="1" applyAlignment="1">
      <alignment horizontal="center" vertical="center" wrapText="1"/>
    </xf>
    <xf numFmtId="9" fontId="45" fillId="0" borderId="30" xfId="1" applyNumberFormat="1" applyFont="1" applyBorder="1" applyAlignment="1">
      <alignment horizontal="center" vertical="center" wrapText="1"/>
    </xf>
    <xf numFmtId="168" fontId="45" fillId="0" borderId="11" xfId="1" applyNumberFormat="1" applyFont="1" applyBorder="1" applyAlignment="1">
      <alignment horizontal="center" vertical="center" wrapText="1"/>
    </xf>
    <xf numFmtId="38" fontId="45" fillId="0" borderId="30" xfId="1" applyNumberFormat="1" applyFont="1" applyBorder="1" applyAlignment="1">
      <alignment horizontal="center" vertical="center" wrapText="1"/>
    </xf>
    <xf numFmtId="38" fontId="56" fillId="0" borderId="36" xfId="6" applyNumberFormat="1" applyFont="1" applyBorder="1" applyAlignment="1">
      <alignment horizontal="center" vertical="center" wrapText="1"/>
    </xf>
    <xf numFmtId="0" fontId="56" fillId="0" borderId="34" xfId="6" applyFont="1" applyBorder="1" applyAlignment="1">
      <alignment horizontal="center" vertical="center" wrapText="1"/>
    </xf>
    <xf numFmtId="0" fontId="56" fillId="0" borderId="37" xfId="6" applyFont="1" applyBorder="1" applyAlignment="1">
      <alignment horizontal="center" vertical="center" wrapText="1"/>
    </xf>
    <xf numFmtId="40" fontId="45" fillId="0" borderId="27" xfId="1" applyFont="1" applyBorder="1" applyAlignment="1">
      <alignment horizontal="center" vertical="center" wrapText="1"/>
    </xf>
    <xf numFmtId="40" fontId="45" fillId="0" borderId="26" xfId="1" applyFont="1" applyBorder="1" applyAlignment="1">
      <alignment horizontal="center" vertical="center" wrapText="1"/>
    </xf>
    <xf numFmtId="40" fontId="45" fillId="0" borderId="28" xfId="1" applyFont="1" applyBorder="1" applyAlignment="1">
      <alignment horizontal="center" vertical="center" wrapText="1"/>
    </xf>
    <xf numFmtId="169" fontId="45" fillId="0" borderId="27" xfId="1" applyNumberFormat="1" applyFont="1" applyBorder="1" applyAlignment="1">
      <alignment horizontal="center" vertical="center" wrapText="1"/>
    </xf>
    <xf numFmtId="169" fontId="45" fillId="0" borderId="26" xfId="1" applyNumberFormat="1" applyFont="1" applyBorder="1" applyAlignment="1">
      <alignment horizontal="center" vertical="center" wrapText="1"/>
    </xf>
    <xf numFmtId="169" fontId="45" fillId="0" borderId="28" xfId="1" applyNumberFormat="1" applyFont="1" applyBorder="1" applyAlignment="1">
      <alignment horizontal="center" vertical="center" wrapText="1"/>
    </xf>
    <xf numFmtId="38" fontId="45" fillId="0" borderId="27" xfId="6" applyNumberFormat="1" applyFont="1" applyBorder="1" applyAlignment="1">
      <alignment horizontal="center" vertical="center" wrapText="1"/>
    </xf>
    <xf numFmtId="38" fontId="45" fillId="0" borderId="26" xfId="6" applyNumberFormat="1" applyFont="1" applyBorder="1" applyAlignment="1">
      <alignment horizontal="center" vertical="center" wrapText="1"/>
    </xf>
    <xf numFmtId="38" fontId="45" fillId="0" borderId="28" xfId="6" applyNumberFormat="1" applyFont="1" applyBorder="1" applyAlignment="1">
      <alignment horizontal="center" vertical="center" wrapText="1"/>
    </xf>
    <xf numFmtId="0" fontId="45" fillId="0" borderId="58" xfId="6" applyFont="1" applyBorder="1" applyAlignment="1">
      <alignment horizontal="left" vertical="center" wrapText="1"/>
    </xf>
    <xf numFmtId="0" fontId="45" fillId="0" borderId="63" xfId="6" applyFont="1" applyBorder="1" applyAlignment="1">
      <alignment horizontal="left" vertical="center" wrapText="1"/>
    </xf>
    <xf numFmtId="168" fontId="47" fillId="0" borderId="36" xfId="1" applyNumberFormat="1" applyFont="1" applyBorder="1" applyAlignment="1">
      <alignment horizontal="center" vertical="center" wrapText="1"/>
    </xf>
    <xf numFmtId="168" fontId="47" fillId="0" borderId="34" xfId="1" applyNumberFormat="1" applyFont="1" applyBorder="1" applyAlignment="1">
      <alignment horizontal="center" vertical="center" wrapText="1"/>
    </xf>
    <xf numFmtId="168" fontId="47" fillId="0" borderId="37" xfId="1" applyNumberFormat="1" applyFont="1" applyBorder="1" applyAlignment="1">
      <alignment horizontal="center" vertical="center" wrapText="1"/>
    </xf>
    <xf numFmtId="0" fontId="45" fillId="0" borderId="27" xfId="6" applyFont="1" applyBorder="1" applyAlignment="1">
      <alignment horizontal="center" wrapText="1"/>
    </xf>
    <xf numFmtId="0" fontId="45" fillId="0" borderId="26" xfId="6" applyFont="1" applyBorder="1" applyAlignment="1">
      <alignment horizontal="center" wrapText="1"/>
    </xf>
    <xf numFmtId="0" fontId="45" fillId="0" borderId="28" xfId="6" applyFont="1" applyBorder="1" applyAlignment="1">
      <alignment horizontal="center" wrapText="1"/>
    </xf>
    <xf numFmtId="167" fontId="47" fillId="0" borderId="27" xfId="1" applyNumberFormat="1" applyFont="1" applyBorder="1" applyAlignment="1">
      <alignment horizontal="center" vertical="center" wrapText="1"/>
    </xf>
    <xf numFmtId="167" fontId="47" fillId="0" borderId="26" xfId="1" applyNumberFormat="1" applyFont="1" applyBorder="1" applyAlignment="1">
      <alignment horizontal="center" vertical="center" wrapText="1"/>
    </xf>
    <xf numFmtId="167" fontId="47" fillId="0" borderId="10" xfId="1" applyNumberFormat="1" applyFont="1" applyBorder="1" applyAlignment="1">
      <alignment horizontal="center" vertical="center" wrapText="1"/>
    </xf>
    <xf numFmtId="167" fontId="47" fillId="0" borderId="28" xfId="1" applyNumberFormat="1" applyFont="1" applyBorder="1" applyAlignment="1">
      <alignment horizontal="center" vertical="center" wrapText="1"/>
    </xf>
    <xf numFmtId="0" fontId="45" fillId="0" borderId="61" xfId="6" applyFont="1" applyBorder="1" applyAlignment="1">
      <alignment horizontal="left" vertical="center" wrapText="1"/>
    </xf>
    <xf numFmtId="0" fontId="45" fillId="0" borderId="62" xfId="6" applyFont="1" applyBorder="1" applyAlignment="1">
      <alignment horizontal="left" vertical="center" wrapText="1"/>
    </xf>
    <xf numFmtId="0" fontId="47" fillId="0" borderId="27" xfId="6" applyFont="1" applyBorder="1" applyAlignment="1">
      <alignment horizontal="left" vertical="center" wrapText="1"/>
    </xf>
    <xf numFmtId="0" fontId="47" fillId="0" borderId="26" xfId="6" applyFont="1" applyBorder="1" applyAlignment="1">
      <alignment horizontal="left" vertical="center" wrapText="1"/>
    </xf>
    <xf numFmtId="0" fontId="47" fillId="0" borderId="28" xfId="6" applyFont="1" applyBorder="1" applyAlignment="1">
      <alignment horizontal="left" vertical="center" wrapText="1"/>
    </xf>
    <xf numFmtId="0" fontId="45" fillId="0" borderId="27" xfId="6" applyFont="1" applyBorder="1" applyAlignment="1">
      <alignment horizontal="left" vertical="center" wrapText="1"/>
    </xf>
    <xf numFmtId="0" fontId="45" fillId="0" borderId="26" xfId="6" applyFont="1" applyBorder="1" applyAlignment="1">
      <alignment horizontal="left" vertical="center" wrapText="1"/>
    </xf>
    <xf numFmtId="0" fontId="45" fillId="0" borderId="28" xfId="6" applyFont="1" applyBorder="1" applyAlignment="1">
      <alignment horizontal="left" vertical="center" wrapText="1"/>
    </xf>
    <xf numFmtId="0" fontId="47" fillId="0" borderId="39" xfId="6" applyFont="1" applyBorder="1" applyAlignment="1">
      <alignment horizontal="center" vertical="center" wrapText="1"/>
    </xf>
    <xf numFmtId="0" fontId="47" fillId="0" borderId="40" xfId="6" applyFont="1" applyBorder="1" applyAlignment="1">
      <alignment horizontal="center" vertical="center" wrapText="1"/>
    </xf>
    <xf numFmtId="0" fontId="44" fillId="0" borderId="15" xfId="6" applyFont="1" applyBorder="1" applyAlignment="1">
      <alignment horizontal="left" vertical="center" wrapText="1"/>
    </xf>
    <xf numFmtId="0" fontId="44" fillId="0" borderId="16" xfId="6" applyFont="1" applyBorder="1" applyAlignment="1">
      <alignment horizontal="left" vertical="center" wrapText="1"/>
    </xf>
    <xf numFmtId="0" fontId="44" fillId="0" borderId="19" xfId="6" applyFont="1" applyBorder="1" applyAlignment="1">
      <alignment horizontal="left" vertical="center" wrapText="1"/>
    </xf>
    <xf numFmtId="0" fontId="50" fillId="0" borderId="25" xfId="6" applyFont="1" applyBorder="1" applyAlignment="1">
      <alignment horizontal="center" vertical="center" wrapText="1"/>
    </xf>
    <xf numFmtId="0" fontId="50" fillId="0" borderId="26" xfId="6" applyFont="1" applyBorder="1" applyAlignment="1">
      <alignment horizontal="center" vertical="center" wrapText="1"/>
    </xf>
    <xf numFmtId="0" fontId="50" fillId="0" borderId="28" xfId="6" applyFont="1" applyBorder="1" applyAlignment="1">
      <alignment horizontal="center" vertical="center" wrapText="1"/>
    </xf>
    <xf numFmtId="49" fontId="51" fillId="0" borderId="27" xfId="6" applyNumberFormat="1" applyFont="1" applyBorder="1" applyAlignment="1">
      <alignment horizontal="center" vertical="center" wrapText="1"/>
    </xf>
    <xf numFmtId="49" fontId="51" fillId="0" borderId="26" xfId="6" applyNumberFormat="1" applyFont="1" applyBorder="1" applyAlignment="1">
      <alignment horizontal="center" vertical="center" wrapText="1"/>
    </xf>
    <xf numFmtId="49" fontId="51" fillId="0" borderId="10" xfId="6" applyNumberFormat="1" applyFont="1" applyBorder="1" applyAlignment="1">
      <alignment horizontal="center" vertical="center" wrapText="1"/>
    </xf>
    <xf numFmtId="49" fontId="51" fillId="0" borderId="28" xfId="6" applyNumberFormat="1" applyFont="1" applyBorder="1" applyAlignment="1">
      <alignment horizontal="center" vertical="center" wrapText="1"/>
    </xf>
    <xf numFmtId="0" fontId="48" fillId="0" borderId="21" xfId="6" applyFont="1" applyBorder="1" applyAlignment="1">
      <alignment horizontal="center" vertical="center" wrapText="1"/>
    </xf>
    <xf numFmtId="0" fontId="48" fillId="0" borderId="22" xfId="6" applyFont="1" applyBorder="1" applyAlignment="1">
      <alignment horizontal="center" vertical="center" wrapText="1"/>
    </xf>
    <xf numFmtId="0" fontId="48" fillId="0" borderId="56" xfId="6" applyFont="1" applyBorder="1" applyAlignment="1">
      <alignment horizontal="center" vertical="center" wrapText="1"/>
    </xf>
    <xf numFmtId="0" fontId="48" fillId="0" borderId="57" xfId="6" applyFont="1" applyBorder="1" applyAlignment="1">
      <alignment horizontal="center" vertical="center" wrapText="1"/>
    </xf>
    <xf numFmtId="0" fontId="47" fillId="0" borderId="59" xfId="6" applyFont="1" applyBorder="1" applyAlignment="1">
      <alignment horizontal="center" vertical="center" wrapText="1"/>
    </xf>
    <xf numFmtId="0" fontId="47" fillId="0" borderId="60" xfId="6" applyFont="1" applyBorder="1" applyAlignment="1">
      <alignment horizontal="center" vertical="center" wrapText="1"/>
    </xf>
    <xf numFmtId="0" fontId="41" fillId="0" borderId="0" xfId="5" applyFont="1" applyAlignment="1">
      <alignment horizontal="center" vertical="center" wrapText="1"/>
    </xf>
    <xf numFmtId="0" fontId="42" fillId="0" borderId="0" xfId="5" applyFont="1" applyAlignment="1">
      <alignment horizontal="center" vertical="center"/>
    </xf>
    <xf numFmtId="0" fontId="46" fillId="0" borderId="21" xfId="6" applyFont="1" applyBorder="1" applyAlignment="1">
      <alignment horizontal="center" vertical="center" wrapText="1"/>
    </xf>
    <xf numFmtId="0" fontId="46" fillId="0" borderId="22" xfId="6" applyFont="1" applyBorder="1" applyAlignment="1">
      <alignment horizontal="center" vertical="center" wrapText="1"/>
    </xf>
    <xf numFmtId="165" fontId="47" fillId="0" borderId="11" xfId="6" applyNumberFormat="1" applyFont="1" applyBorder="1" applyAlignment="1">
      <alignment horizontal="center" vertical="center" wrapText="1"/>
    </xf>
    <xf numFmtId="165" fontId="47" fillId="0" borderId="30" xfId="6" applyNumberFormat="1" applyFont="1" applyBorder="1" applyAlignment="1">
      <alignment horizontal="center" vertical="center" wrapText="1"/>
    </xf>
  </cellXfs>
  <cellStyles count="7">
    <cellStyle name="Гиперссылка" xfId="4" builtinId="8"/>
    <cellStyle name="Обычный" xfId="0" builtinId="0"/>
    <cellStyle name="Обычный 2 2 2" xfId="5" xr:uid="{9204A145-E562-41E9-AD42-2740AC87EF90}"/>
    <cellStyle name="Обычный 3" xfId="3" xr:uid="{DEAAF7AD-153D-4373-8002-6C1465B2959F}"/>
    <cellStyle name="Обычный 4 2" xfId="6" xr:uid="{10980DEC-FF00-40DE-8FF9-D2FAA749FBAA}"/>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sharedStrings" Target="sharedStrings.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3</xdr:col>
      <xdr:colOff>5025259</xdr:colOff>
      <xdr:row>26</xdr:row>
      <xdr:rowOff>1</xdr:rowOff>
    </xdr:from>
    <xdr:to>
      <xdr:col>7</xdr:col>
      <xdr:colOff>98534</xdr:colOff>
      <xdr:row>26</xdr:row>
      <xdr:rowOff>2315560</xdr:rowOff>
    </xdr:to>
    <xdr:pic>
      <xdr:nvPicPr>
        <xdr:cNvPr id="2" name="Рисунок 1">
          <a:extLst>
            <a:ext uri="{FF2B5EF4-FFF2-40B4-BE49-F238E27FC236}">
              <a16:creationId xmlns:a16="http://schemas.microsoft.com/office/drawing/2014/main" id="{C35B2C1A-CB3B-499A-8E02-D809E6EDFF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3109" y="5343526"/>
          <a:ext cx="3883900" cy="2315559"/>
        </a:xfrm>
        <a:prstGeom prst="rect">
          <a:avLst/>
        </a:prstGeom>
      </xdr:spPr>
    </xdr:pic>
    <xdr:clientData/>
  </xdr:twoCellAnchor>
  <xdr:twoCellAnchor editAs="oneCell">
    <xdr:from>
      <xdr:col>6</xdr:col>
      <xdr:colOff>1280947</xdr:colOff>
      <xdr:row>25</xdr:row>
      <xdr:rowOff>886810</xdr:rowOff>
    </xdr:from>
    <xdr:to>
      <xdr:col>10</xdr:col>
      <xdr:colOff>788276</xdr:colOff>
      <xdr:row>27</xdr:row>
      <xdr:rowOff>0</xdr:rowOff>
    </xdr:to>
    <xdr:pic>
      <xdr:nvPicPr>
        <xdr:cNvPr id="3" name="Рисунок 2">
          <a:extLst>
            <a:ext uri="{FF2B5EF4-FFF2-40B4-BE49-F238E27FC236}">
              <a16:creationId xmlns:a16="http://schemas.microsoft.com/office/drawing/2014/main" id="{2F096842-0E87-4C0C-81D8-56479E39A1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10672" y="5334985"/>
          <a:ext cx="4412704" cy="2342165"/>
        </a:xfrm>
        <a:prstGeom prst="rect">
          <a:avLst/>
        </a:prstGeom>
      </xdr:spPr>
    </xdr:pic>
    <xdr:clientData/>
  </xdr:twoCellAnchor>
  <xdr:twoCellAnchor editAs="oneCell">
    <xdr:from>
      <xdr:col>10</xdr:col>
      <xdr:colOff>755432</xdr:colOff>
      <xdr:row>26</xdr:row>
      <xdr:rowOff>16422</xdr:rowOff>
    </xdr:from>
    <xdr:to>
      <xdr:col>13</xdr:col>
      <xdr:colOff>1395906</xdr:colOff>
      <xdr:row>27</xdr:row>
      <xdr:rowOff>65690</xdr:rowOff>
    </xdr:to>
    <xdr:pic>
      <xdr:nvPicPr>
        <xdr:cNvPr id="4" name="Рисунок 3">
          <a:extLst>
            <a:ext uri="{FF2B5EF4-FFF2-40B4-BE49-F238E27FC236}">
              <a16:creationId xmlns:a16="http://schemas.microsoft.com/office/drawing/2014/main" id="{66979A20-6034-4E84-AC85-9337B752A2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90532" y="5359947"/>
          <a:ext cx="4040899" cy="2382893"/>
        </a:xfrm>
        <a:prstGeom prst="rect">
          <a:avLst/>
        </a:prstGeom>
      </xdr:spPr>
    </xdr:pic>
    <xdr:clientData/>
  </xdr:twoCellAnchor>
  <xdr:twoCellAnchor editAs="oneCell">
    <xdr:from>
      <xdr:col>3</xdr:col>
      <xdr:colOff>0</xdr:colOff>
      <xdr:row>26</xdr:row>
      <xdr:rowOff>1</xdr:rowOff>
    </xdr:from>
    <xdr:to>
      <xdr:col>3</xdr:col>
      <xdr:colOff>4992414</xdr:colOff>
      <xdr:row>26</xdr:row>
      <xdr:rowOff>2299138</xdr:rowOff>
    </xdr:to>
    <xdr:pic>
      <xdr:nvPicPr>
        <xdr:cNvPr id="5" name="Рисунок 4">
          <a:extLst>
            <a:ext uri="{FF2B5EF4-FFF2-40B4-BE49-F238E27FC236}">
              <a16:creationId xmlns:a16="http://schemas.microsoft.com/office/drawing/2014/main" id="{35F141A1-F5FA-43F5-9CA7-BDF0E5F387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47850" y="5343526"/>
          <a:ext cx="4992414" cy="2299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5025259</xdr:colOff>
      <xdr:row>26</xdr:row>
      <xdr:rowOff>1</xdr:rowOff>
    </xdr:from>
    <xdr:to>
      <xdr:col>7</xdr:col>
      <xdr:colOff>98534</xdr:colOff>
      <xdr:row>26</xdr:row>
      <xdr:rowOff>2315560</xdr:rowOff>
    </xdr:to>
    <xdr:pic>
      <xdr:nvPicPr>
        <xdr:cNvPr id="2" name="Рисунок 1">
          <a:extLst>
            <a:ext uri="{FF2B5EF4-FFF2-40B4-BE49-F238E27FC236}">
              <a16:creationId xmlns:a16="http://schemas.microsoft.com/office/drawing/2014/main" id="{D00151F0-D82B-40B3-9098-28F325B40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3109" y="5343526"/>
          <a:ext cx="3883900" cy="2315559"/>
        </a:xfrm>
        <a:prstGeom prst="rect">
          <a:avLst/>
        </a:prstGeom>
      </xdr:spPr>
    </xdr:pic>
    <xdr:clientData/>
  </xdr:twoCellAnchor>
  <xdr:twoCellAnchor editAs="oneCell">
    <xdr:from>
      <xdr:col>6</xdr:col>
      <xdr:colOff>1280947</xdr:colOff>
      <xdr:row>25</xdr:row>
      <xdr:rowOff>886810</xdr:rowOff>
    </xdr:from>
    <xdr:to>
      <xdr:col>10</xdr:col>
      <xdr:colOff>788276</xdr:colOff>
      <xdr:row>27</xdr:row>
      <xdr:rowOff>0</xdr:rowOff>
    </xdr:to>
    <xdr:pic>
      <xdr:nvPicPr>
        <xdr:cNvPr id="3" name="Рисунок 2">
          <a:extLst>
            <a:ext uri="{FF2B5EF4-FFF2-40B4-BE49-F238E27FC236}">
              <a16:creationId xmlns:a16="http://schemas.microsoft.com/office/drawing/2014/main" id="{2467478B-64B8-403E-BE9C-3BFE82A330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10672" y="5334985"/>
          <a:ext cx="4412704" cy="2342165"/>
        </a:xfrm>
        <a:prstGeom prst="rect">
          <a:avLst/>
        </a:prstGeom>
      </xdr:spPr>
    </xdr:pic>
    <xdr:clientData/>
  </xdr:twoCellAnchor>
  <xdr:twoCellAnchor editAs="oneCell">
    <xdr:from>
      <xdr:col>10</xdr:col>
      <xdr:colOff>755432</xdr:colOff>
      <xdr:row>26</xdr:row>
      <xdr:rowOff>16422</xdr:rowOff>
    </xdr:from>
    <xdr:to>
      <xdr:col>13</xdr:col>
      <xdr:colOff>1395906</xdr:colOff>
      <xdr:row>27</xdr:row>
      <xdr:rowOff>65690</xdr:rowOff>
    </xdr:to>
    <xdr:pic>
      <xdr:nvPicPr>
        <xdr:cNvPr id="4" name="Рисунок 3">
          <a:extLst>
            <a:ext uri="{FF2B5EF4-FFF2-40B4-BE49-F238E27FC236}">
              <a16:creationId xmlns:a16="http://schemas.microsoft.com/office/drawing/2014/main" id="{8223081D-0944-4007-AB2A-1DFBFAFEB3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90532" y="5359947"/>
          <a:ext cx="4040899" cy="2382893"/>
        </a:xfrm>
        <a:prstGeom prst="rect">
          <a:avLst/>
        </a:prstGeom>
      </xdr:spPr>
    </xdr:pic>
    <xdr:clientData/>
  </xdr:twoCellAnchor>
  <xdr:twoCellAnchor editAs="oneCell">
    <xdr:from>
      <xdr:col>3</xdr:col>
      <xdr:colOff>0</xdr:colOff>
      <xdr:row>26</xdr:row>
      <xdr:rowOff>1</xdr:rowOff>
    </xdr:from>
    <xdr:to>
      <xdr:col>3</xdr:col>
      <xdr:colOff>4992414</xdr:colOff>
      <xdr:row>26</xdr:row>
      <xdr:rowOff>2299138</xdr:rowOff>
    </xdr:to>
    <xdr:pic>
      <xdr:nvPicPr>
        <xdr:cNvPr id="5" name="Рисунок 4">
          <a:extLst>
            <a:ext uri="{FF2B5EF4-FFF2-40B4-BE49-F238E27FC236}">
              <a16:creationId xmlns:a16="http://schemas.microsoft.com/office/drawing/2014/main" id="{3888ECC3-1DF9-48D0-8598-A42BBEDD84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47850" y="5343526"/>
          <a:ext cx="4992414" cy="22991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4;&#1082;&#1090;&#1103;&#1073;&#1088;&#1100;%202020/&#1061;&#1083;&#1086;&#1087;&#1082;&#1086;&#1074;&#1099;&#1081;%20&#1082;&#1083;&#1072;&#1089;&#1090;&#1077;&#1088;/&#1041;&#1055;%20-%20&#1061;&#1083;&#1086;&#1087;&#1082;&#1086;&#1074;&#1099;&#1081;%20&#1082;&#1083;&#1072;&#1089;&#1090;&#1077;&#108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68F65BB6\BULL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0;&#1086;&#1085;&#1076;&#1080;&#1090;&#1077;&#1088;&#1089;&#1082;&#1072;&#1103;/&#1056;&#1072;&#1089;&#1095;&#1077;&#1090;&#1089;&#1090;&#1072;&#1088;&#1099;&#108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RK/CRP/&#1052;&#1077;&#1090;&#1086;&#1076;&#1080;&#1082;&#1072;/&#1056;&#1072;&#1089;&#1095;&#1077;&#1090;&#1085;&#1099;&#1077;%20&#1084;&#1086;&#1076;&#1077;&#1083;&#1080;/&#1052;&#1086;&#1076;&#1077;&#1083;&#1100;%2020-2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Javokhir/api/2021/202-234%20&#1103;&#1085;&#1074;&#1072;&#1088;&#1100;-&#1092;&#1077;&#1074;&#1088;&#1072;&#1083;&#1100;/1.%20&#1043;&#1086;&#1090;&#1086;&#1074;&#1099;&#1077;/4-&#1041;&#1055;%20&#1057;&#1086;&#1103;&#1074;&#1099;&#1093;%20&#1087;&#1088;&#1086;&#1076;&#1091;&#1082;&#1094;&#1080;&#1080;%20&#1060;22/&#1041;&#1055;%20&#1057;&#1086;&#1103;&#1074;&#1099;&#1093;%20&#1087;&#1088;&#1086;&#1076;&#1091;&#1082;&#1094;&#1080;&#1080;%20&#1060;22%20e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ow r="1">
          <cell r="B1">
            <v>0</v>
          </cell>
        </row>
      </sheetData>
      <sheetData sheetId="71">
        <row r="1">
          <cell r="B1">
            <v>0</v>
          </cell>
        </row>
      </sheetData>
      <sheetData sheetId="72">
        <row r="1">
          <cell r="B1">
            <v>0</v>
          </cell>
        </row>
      </sheetData>
      <sheetData sheetId="73"/>
      <sheetData sheetId="74"/>
      <sheetData sheetId="75"/>
      <sheetData sheetId="76"/>
      <sheetData sheetId="77" refreshError="1"/>
      <sheetData sheetId="7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sheetData sheetId="13">
        <row r="4">
          <cell r="O4">
            <v>67.099999999999994</v>
          </cell>
        </row>
      </sheetData>
      <sheetData sheetId="14" refreshError="1"/>
      <sheetData sheetId="15"/>
      <sheetData sheetId="16">
        <row r="4">
          <cell r="O4">
            <v>67.099999999999994</v>
          </cell>
        </row>
      </sheetData>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БП"/>
      <sheetName val="Project Cost (2)"/>
      <sheetName val="NPV-IRR-PI-DPP (2)"/>
      <sheetName val="Чуств."/>
      <sheetName val="БП-Eng"/>
      <sheetName val="Технология"/>
      <sheetName val="Лист1"/>
      <sheetName val="База данных"/>
      <sheetName val="ПаспортRUS"/>
      <sheetName val="Паспорт"/>
      <sheetName val="Полезные сайты"/>
      <sheetName val="Импорт"/>
      <sheetName val="Экспорт"/>
      <sheetName val="промпродукция"/>
      <sheetName val="ДЕХ"/>
      <sheetName val="ЧОР"/>
      <sheetName val="___"/>
      <sheetName val="Input1"/>
      <sheetName val="вопросы"/>
      <sheetName val="База данных2"/>
      <sheetName val="Depreciat"/>
      <sheetName val="Loans1"/>
      <sheetName val="Input3"/>
      <sheetName val="Input4"/>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БП - Хлопковый кластер"/>
    </sheetNames>
    <definedNames>
      <definedName name="_a1Z"/>
      <definedName name="_a2Z"/>
      <definedName name="BlankMacro1"/>
      <definedName name="oy" refersTo="#ССЫЛКА!"/>
      <definedName name="yil" refersTo="#ССЫЛКА!"/>
      <definedName name="дел"/>
      <definedName name="прилож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efreshError="1"/>
      <sheetData sheetId="75" refreshError="1"/>
      <sheetData sheetId="76" refreshError="1"/>
      <sheetData sheetId="77">
        <row r="4">
          <cell r="O4">
            <v>67.099999999999994</v>
          </cell>
        </row>
      </sheetData>
      <sheetData sheetId="78">
        <row r="4">
          <cell r="O4">
            <v>67.099999999999994</v>
          </cell>
        </row>
      </sheetData>
      <sheetData sheetId="79"/>
      <sheetData sheetId="80"/>
      <sheetData sheetId="81"/>
      <sheetData sheetId="82"/>
      <sheetData sheetId="83"/>
      <sheetData sheetId="84"/>
      <sheetData sheetId="85"/>
      <sheetData sheetId="86"/>
      <sheetData sheetId="8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sheetData sheetId="64"/>
      <sheetData sheetId="65"/>
      <sheetData sheetId="66"/>
      <sheetData sheetId="67">
        <row r="4">
          <cell r="O4">
            <v>67.099999999999994</v>
          </cell>
        </row>
      </sheetData>
      <sheetData sheetId="68"/>
      <sheetData sheetId="6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sheetData sheetId="69"/>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9">
          <cell r="C9">
            <v>184800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ow r="4">
          <cell r="O4">
            <v>67.099999999999994</v>
          </cell>
        </row>
      </sheetData>
      <sheetData sheetId="50">
        <row r="4">
          <cell r="O4">
            <v>67.099999999999994</v>
          </cell>
        </row>
      </sheetData>
      <sheetData sheetId="51">
        <row r="4">
          <cell r="O4">
            <v>67.099999999999994</v>
          </cell>
        </row>
      </sheetData>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sheetData sheetId="259"/>
      <sheetData sheetId="260"/>
      <sheetData sheetId="261"/>
      <sheetData sheetId="262"/>
      <sheetData sheetId="263"/>
      <sheetData sheetId="264"/>
      <sheetData sheetId="265"/>
      <sheetData sheetId="266"/>
      <sheetData sheetId="267"/>
      <sheetData sheetId="268"/>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sheetData sheetId="283"/>
      <sheetData sheetId="284"/>
      <sheetData sheetId="285"/>
      <sheetData sheetId="286"/>
      <sheetData sheetId="287"/>
      <sheetData sheetId="288"/>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sheetData sheetId="331"/>
      <sheetData sheetId="332"/>
      <sheetData sheetId="333"/>
      <sheetData sheetId="334"/>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sheetData sheetId="351"/>
      <sheetData sheetId="352"/>
      <sheetData sheetId="353"/>
      <sheetData sheetId="354"/>
      <sheetData sheetId="355"/>
      <sheetData sheetId="356"/>
      <sheetData sheetId="357"/>
      <sheetData sheetId="358"/>
      <sheetData sheetId="359"/>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sheetData sheetId="420">
        <row r="4">
          <cell r="O4">
            <v>67.099999999999994</v>
          </cell>
        </row>
      </sheetData>
      <sheetData sheetId="421"/>
      <sheetData sheetId="422"/>
      <sheetData sheetId="423"/>
      <sheetData sheetId="424"/>
      <sheetData sheetId="425"/>
      <sheetData sheetId="426"/>
      <sheetData sheetId="427"/>
      <sheetData sheetId="428"/>
      <sheetData sheetId="429"/>
      <sheetData sheetId="430">
        <row r="4">
          <cell r="O4">
            <v>67.099999999999994</v>
          </cell>
        </row>
      </sheetData>
      <sheetData sheetId="431"/>
      <sheetData sheetId="432"/>
      <sheetData sheetId="433"/>
      <sheetData sheetId="434"/>
      <sheetData sheetId="435"/>
      <sheetData sheetId="436"/>
      <sheetData sheetId="437"/>
      <sheetData sheetId="438">
        <row r="4">
          <cell r="O4">
            <v>67.099999999999994</v>
          </cell>
        </row>
      </sheetData>
      <sheetData sheetId="439"/>
      <sheetData sheetId="440"/>
      <sheetData sheetId="441"/>
      <sheetData sheetId="442"/>
      <sheetData sheetId="443">
        <row r="4">
          <cell r="O4">
            <v>67.099999999999994</v>
          </cell>
        </row>
      </sheetData>
      <sheetData sheetId="444">
        <row r="4">
          <cell r="O4">
            <v>67.099999999999994</v>
          </cell>
        </row>
      </sheetData>
      <sheetData sheetId="445"/>
      <sheetData sheetId="446">
        <row r="4">
          <cell r="O4">
            <v>67.099999999999994</v>
          </cell>
        </row>
      </sheetData>
      <sheetData sheetId="447"/>
      <sheetData sheetId="448"/>
      <sheetData sheetId="449"/>
      <sheetData sheetId="450"/>
      <sheetData sheetId="451"/>
      <sheetData sheetId="452"/>
      <sheetData sheetId="453"/>
      <sheetData sheetId="454"/>
      <sheetData sheetId="455"/>
      <sheetData sheetId="456">
        <row r="4">
          <cell r="O4">
            <v>67.099999999999994</v>
          </cell>
        </row>
      </sheetData>
      <sheetData sheetId="457"/>
      <sheetData sheetId="458"/>
      <sheetData sheetId="459"/>
      <sheetData sheetId="460"/>
      <sheetData sheetId="461"/>
      <sheetData sheetId="462"/>
      <sheetData sheetId="463"/>
      <sheetData sheetId="464"/>
      <sheetData sheetId="465"/>
      <sheetData sheetId="466"/>
      <sheetData sheetId="467"/>
      <sheetData sheetId="468"/>
      <sheetData sheetId="469">
        <row r="4">
          <cell r="O4">
            <v>67.099999999999994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отчета 16"/>
      <sheetName val="ПаспортРУС"/>
      <sheetName val="ПаспортEng"/>
      <sheetName val="БП-Анг"/>
      <sheetName val="Project Cost (2)"/>
      <sheetName val="NPV-IRR-PI-PP (2)"/>
      <sheetName val="Банк данных маркетинга 2"/>
      <sheetName val="Чуств."/>
      <sheetName val="ПаспортR"/>
      <sheetName val="ПаспортE"/>
      <sheetName val="Диаг1"/>
      <sheetName val="Диаг.6"/>
      <sheetName val="Диагр"/>
      <sheetName val="Диаг-"/>
      <sheetName val="Диаг 3"/>
      <sheetName val="Input1"/>
      <sheetName val="Depreciat"/>
      <sheetName val="Loans1"/>
      <sheetName val="Input3"/>
      <sheetName val="Input4"/>
      <sheetName val="Диаг -1"/>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Чувств"/>
      <sheetName val="Диагр-----"/>
      <sheetName val="Диагр----- (2)"/>
      <sheetName val="Диагр----- (3)"/>
      <sheetName val="WorkCap (2)"/>
      <sheetName val="Ф1"/>
      <sheetName val="Ф2"/>
      <sheetName val="Класс"/>
      <sheetName val="1"/>
      <sheetName val="2"/>
      <sheetName val="3"/>
      <sheetName val="Лист1"/>
    </sheetNames>
    <sheetDataSet>
      <sheetData sheetId="0">
        <row r="3">
          <cell r="D3" t="str">
            <v>Производство ортопедических матрасов</v>
          </cell>
        </row>
        <row r="5">
          <cell r="E5" t="str">
            <v>Создание собственного производства ортопедических матрасов в широком ассортименте в целях импортозамещения и экспорта продукции</v>
          </cell>
        </row>
        <row r="6">
          <cell r="E6" t="str">
            <v>Легкая промышленность</v>
          </cell>
        </row>
        <row r="10">
          <cell r="E10" t="str">
            <v>СЭЗ "Термез", Сурхандарьинская область</v>
          </cell>
        </row>
        <row r="37">
          <cell r="E37">
            <v>21600</v>
          </cell>
          <cell r="I37">
            <v>21600</v>
          </cell>
          <cell r="L37">
            <v>21600</v>
          </cell>
        </row>
        <row r="215">
          <cell r="E215">
            <v>3263889</v>
          </cell>
        </row>
        <row r="216">
          <cell r="D216" t="str">
            <v>Вклад местного инвестора (инициатора), $</v>
          </cell>
          <cell r="E216">
            <v>1080875</v>
          </cell>
        </row>
        <row r="217">
          <cell r="D217" t="str">
            <v>Вклад иностранного инвестора, $</v>
          </cell>
          <cell r="E217">
            <v>2183014</v>
          </cell>
        </row>
        <row r="218">
          <cell r="E218">
            <v>0</v>
          </cell>
        </row>
        <row r="224">
          <cell r="E224">
            <v>70.68500707069515</v>
          </cell>
        </row>
        <row r="225">
          <cell r="E225">
            <v>0.10839873986813564</v>
          </cell>
        </row>
        <row r="226">
          <cell r="E226">
            <v>958739.36945756758</v>
          </cell>
        </row>
        <row r="227">
          <cell r="E227">
            <v>1.2552798753725618</v>
          </cell>
        </row>
        <row r="232">
          <cell r="E232" t="str">
            <v xml:space="preserve">Продукция имеет достаточный спрос, 
Привлечение новой передовой технологии, 
Подержка государства по льготам СЭЗ и др.  </v>
          </cell>
        </row>
        <row r="233">
          <cell r="E233" t="str">
            <v>Требуется квалифицированный персонал, 
Отсутствие дизайнеров и технических инженеров и др.</v>
          </cell>
        </row>
        <row r="234">
          <cell r="E234" t="str">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ell>
        </row>
        <row r="235">
          <cell r="E235" t="str">
            <v>Частичная импортная зависимость, 
Наличие конкурентов импортеров продукции высокого качества</v>
          </cell>
        </row>
      </sheetData>
      <sheetData sheetId="1"/>
      <sheetData sheetId="2"/>
      <sheetData sheetId="3">
        <row r="3">
          <cell r="D3" t="str">
            <v>Production of orthopedic mattresses</v>
          </cell>
        </row>
        <row r="5">
          <cell r="E5" t="str">
            <v>Production of orthopedic mattresses</v>
          </cell>
        </row>
        <row r="9">
          <cell r="E9" t="str">
            <v>FEZ "Termez", Surkhan-Darya region</v>
          </cell>
        </row>
        <row r="28">
          <cell r="E28" t="str">
            <v>Consumer goods for the population, furniture industry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Форма-отчета 22"/>
      <sheetName val="Project Cost (2)"/>
      <sheetName val="Present"/>
      <sheetName val="NPV-IRR-PI-DPP (2)"/>
      <sheetName val="БП-Eng"/>
      <sheetName val="База данных"/>
      <sheetName val="Полезные сайты"/>
      <sheetName val="Импорт"/>
      <sheetName val="Экспорт"/>
      <sheetName val="промпродукция"/>
      <sheetName val="Чуств."/>
      <sheetName val="Input1"/>
      <sheetName val="Loans1"/>
      <sheetName val="Input3"/>
      <sheetName val="Input4"/>
      <sheetName val="0"/>
      <sheetName val="ПаспортRUS"/>
      <sheetName val="1"/>
      <sheetName val="3"/>
      <sheetName val="4"/>
      <sheetName val="5"/>
      <sheetName val="6"/>
      <sheetName val="7"/>
      <sheetName val="8"/>
      <sheetName val="9"/>
      <sheetName val="10"/>
      <sheetName val="11"/>
      <sheetName val="12"/>
      <sheetName val="13"/>
      <sheetName val="14"/>
      <sheetName val="15"/>
      <sheetName val="16"/>
      <sheetName val="17"/>
      <sheetName val="Паспорт"/>
      <sheetName val="ДЕХ"/>
      <sheetName val="ЧОР"/>
      <sheetName val="___"/>
      <sheetName val="Project Cost"/>
      <sheetName val="---------"/>
      <sheetName val="ТЭП"/>
      <sheetName val="FinPlan"/>
      <sheetName val="ProdPlan"/>
      <sheetName val="SalePlan"/>
      <sheetName val="Loans"/>
      <sheetName val="Depreciat"/>
      <sheetName val="Taxes"/>
      <sheetName val="CostTotal"/>
      <sheetName val="CostSold"/>
      <sheetName val="Себестоимость"/>
      <sheetName val="ProfLoss"/>
      <sheetName val="WorkCap"/>
      <sheetName val="CashFlow"/>
      <sheetName val="Balance"/>
      <sheetName val="BreakPoint"/>
    </sheetNames>
    <sheetDataSet>
      <sheetData sheetId="0"/>
      <sheetData sheetId="1"/>
      <sheetData sheetId="2"/>
      <sheetData sheetId="3">
        <row r="6">
          <cell r="C6" t="str">
            <v>Показатели</v>
          </cell>
          <cell r="D6" t="str">
            <v>Затраты в национальной валюте</v>
          </cell>
          <cell r="E6" t="str">
            <v>Затраты в СКВ</v>
          </cell>
          <cell r="F6" t="str">
            <v xml:space="preserve">Всего </v>
          </cell>
          <cell r="G6" t="str">
            <v xml:space="preserve">Структура </v>
          </cell>
          <cell r="J6" t="str">
            <v xml:space="preserve">Займы или кредиты </v>
          </cell>
        </row>
        <row r="7">
          <cell r="L7" t="str">
            <v>Местный инвестор</v>
          </cell>
          <cell r="M7" t="str">
            <v>Иностранный инвестор</v>
          </cell>
        </row>
        <row r="8">
          <cell r="C8" t="str">
            <v>Проектирование</v>
          </cell>
          <cell r="D8">
            <v>64800</v>
          </cell>
          <cell r="F8">
            <v>64800</v>
          </cell>
          <cell r="L8">
            <v>64800</v>
          </cell>
        </row>
        <row r="9">
          <cell r="C9" t="str">
            <v>Здания, сооружения, земля</v>
          </cell>
          <cell r="D9">
            <v>1296000</v>
          </cell>
          <cell r="F9">
            <v>1296000</v>
          </cell>
          <cell r="L9">
            <v>1296000</v>
          </cell>
        </row>
        <row r="10">
          <cell r="C10" t="str">
            <v>Основное оборудование</v>
          </cell>
          <cell r="E10">
            <v>2838017.8926825034</v>
          </cell>
          <cell r="F10">
            <v>2838017.8926825034</v>
          </cell>
          <cell r="M10">
            <v>2838017.8926825034</v>
          </cell>
        </row>
        <row r="11">
          <cell r="C11" t="str">
            <v>Вспомогательное оборудование</v>
          </cell>
          <cell r="D11">
            <v>851405.36780475103</v>
          </cell>
          <cell r="F11">
            <v>851405.36780475103</v>
          </cell>
          <cell r="M11">
            <v>851405.36780475103</v>
          </cell>
        </row>
        <row r="12">
          <cell r="C12" t="str">
            <v>Транспортные расходы, шеф-монтаж, обучение</v>
          </cell>
          <cell r="E12">
            <v>198661.25248777526</v>
          </cell>
          <cell r="F12">
            <v>198661.25248777526</v>
          </cell>
          <cell r="M12">
            <v>198661.25248777526</v>
          </cell>
        </row>
        <row r="13">
          <cell r="C13" t="str">
            <v xml:space="preserve">Прочие фиксированные активы </v>
          </cell>
          <cell r="D13">
            <v>214740.53678047509</v>
          </cell>
          <cell r="E13">
            <v>303667.91451702791</v>
          </cell>
          <cell r="F13">
            <v>518408.45129750296</v>
          </cell>
          <cell r="M13">
            <v>518408.45129750296</v>
          </cell>
        </row>
        <row r="14">
          <cell r="C14" t="str">
            <v>Всего Фиксированные Активы</v>
          </cell>
          <cell r="D14">
            <v>2426945.904585226</v>
          </cell>
          <cell r="E14">
            <v>3340347.0596873066</v>
          </cell>
          <cell r="F14">
            <v>5767292.9642725326</v>
          </cell>
          <cell r="J14">
            <v>0</v>
          </cell>
          <cell r="K14">
            <v>0</v>
          </cell>
          <cell r="L14">
            <v>1360800</v>
          </cell>
          <cell r="M14">
            <v>4406492.9642725326</v>
          </cell>
        </row>
        <row r="15">
          <cell r="C15" t="str">
            <v>структура</v>
          </cell>
          <cell r="D15">
            <v>0.42081196839137042</v>
          </cell>
          <cell r="E15">
            <v>0.57918803160862964</v>
          </cell>
          <cell r="F15">
            <v>1</v>
          </cell>
          <cell r="J15">
            <v>0</v>
          </cell>
          <cell r="K15">
            <v>0</v>
          </cell>
          <cell r="L15">
            <v>0.23595125276796944</v>
          </cell>
          <cell r="M15">
            <v>0.76404874723203053</v>
          </cell>
        </row>
        <row r="16">
          <cell r="C16" t="str">
            <v>Запасы сырья и материалов</v>
          </cell>
          <cell r="D16">
            <v>1021300.4648113579</v>
          </cell>
          <cell r="F16">
            <v>1021300.4648113579</v>
          </cell>
          <cell r="L16">
            <v>1021300.4648113579</v>
          </cell>
        </row>
        <row r="17">
          <cell r="C17" t="str">
            <v>Финансовые издержки</v>
          </cell>
          <cell r="D17">
            <v>242694.59045852261</v>
          </cell>
          <cell r="E17">
            <v>334034.70596873068</v>
          </cell>
          <cell r="F17">
            <v>576729.29642725328</v>
          </cell>
          <cell r="M17">
            <v>576729.29642725328</v>
          </cell>
        </row>
        <row r="18">
          <cell r="C18" t="str">
            <v>ВСЕГО ПЕРВОНАЧАЛЬНАЯ СТОИМОСТЬ ПРОЕКТА</v>
          </cell>
          <cell r="D18">
            <v>3690940.9598551067</v>
          </cell>
          <cell r="E18">
            <v>3674381.7656560373</v>
          </cell>
          <cell r="F18">
            <v>7365322.7255111439</v>
          </cell>
          <cell r="J18">
            <v>0</v>
          </cell>
          <cell r="K18">
            <v>0</v>
          </cell>
          <cell r="L18">
            <v>2382100.4648113577</v>
          </cell>
          <cell r="M18">
            <v>4983222.2606997862</v>
          </cell>
        </row>
        <row r="19">
          <cell r="C19" t="str">
            <v>Структура</v>
          </cell>
          <cell r="D19">
            <v>0.5011241322896629</v>
          </cell>
          <cell r="E19">
            <v>0.49887586771033715</v>
          </cell>
          <cell r="F19">
            <v>1</v>
          </cell>
          <cell r="J19">
            <v>0</v>
          </cell>
          <cell r="K19">
            <v>0</v>
          </cell>
          <cell r="L19">
            <v>0.32342105751327316</v>
          </cell>
          <cell r="M19">
            <v>0.67657894248672679</v>
          </cell>
        </row>
      </sheetData>
      <sheetData sheetId="4"/>
      <sheetData sheetId="5">
        <row r="11">
          <cell r="B11">
            <v>7365322.7255111439</v>
          </cell>
          <cell r="E11">
            <v>0</v>
          </cell>
        </row>
        <row r="12">
          <cell r="E12">
            <v>10567952.729786824</v>
          </cell>
          <cell r="H12">
            <v>1735579.454042655</v>
          </cell>
        </row>
        <row r="13">
          <cell r="E13">
            <v>12681543.275744189</v>
          </cell>
          <cell r="H13">
            <v>2082695.3448511858</v>
          </cell>
        </row>
        <row r="14">
          <cell r="E14">
            <v>14795133.821701553</v>
          </cell>
          <cell r="H14">
            <v>2429811.2356597167</v>
          </cell>
        </row>
        <row r="15">
          <cell r="E15">
            <v>16908724.367658917</v>
          </cell>
          <cell r="H15">
            <v>2776927.1264682473</v>
          </cell>
        </row>
        <row r="16">
          <cell r="E16">
            <v>19022314.913616281</v>
          </cell>
          <cell r="H16">
            <v>3124043.0172767784</v>
          </cell>
        </row>
        <row r="17">
          <cell r="E17">
            <v>21135905.459573645</v>
          </cell>
          <cell r="H17">
            <v>3471158.908085309</v>
          </cell>
        </row>
        <row r="18">
          <cell r="E18">
            <v>21135905.459573645</v>
          </cell>
          <cell r="H18">
            <v>3471158.908085309</v>
          </cell>
        </row>
        <row r="19">
          <cell r="E19">
            <v>21135905.459573645</v>
          </cell>
          <cell r="H19">
            <v>3471158.908085309</v>
          </cell>
        </row>
        <row r="20">
          <cell r="E20">
            <v>21135905.459573645</v>
          </cell>
          <cell r="H20">
            <v>3471158.908085309</v>
          </cell>
          <cell r="M20">
            <v>13160447.434307046</v>
          </cell>
          <cell r="N20">
            <v>0.30652290845359387</v>
          </cell>
          <cell r="O20">
            <v>2.7483505164567648</v>
          </cell>
        </row>
        <row r="31">
          <cell r="P31">
            <v>46.719602563436339</v>
          </cell>
        </row>
        <row r="47">
          <cell r="E47">
            <v>0.49813520261186861</v>
          </cell>
        </row>
        <row r="63">
          <cell r="E63">
            <v>1.3170731707317074</v>
          </cell>
        </row>
        <row r="64">
          <cell r="E64">
            <v>0.32408296523910118</v>
          </cell>
        </row>
        <row r="96">
          <cell r="D96">
            <v>230</v>
          </cell>
        </row>
        <row r="106">
          <cell r="D106">
            <v>1</v>
          </cell>
        </row>
      </sheetData>
      <sheetData sheetId="6"/>
      <sheetData sheetId="7">
        <row r="7">
          <cell r="F7">
            <v>500</v>
          </cell>
        </row>
        <row r="8">
          <cell r="F8">
            <v>150</v>
          </cell>
        </row>
        <row r="12">
          <cell r="BB12">
            <v>8</v>
          </cell>
        </row>
        <row r="32">
          <cell r="G32">
            <v>52000324.5</v>
          </cell>
        </row>
        <row r="40">
          <cell r="E40">
            <v>2886000</v>
          </cell>
        </row>
        <row r="50">
          <cell r="Y50">
            <v>0.14000000000000001</v>
          </cell>
        </row>
        <row r="85">
          <cell r="Q85">
            <v>2.1000000000000001E-4</v>
          </cell>
        </row>
        <row r="102">
          <cell r="F102">
            <v>58.03</v>
          </cell>
          <cell r="G102">
            <v>383335</v>
          </cell>
        </row>
        <row r="103">
          <cell r="I103">
            <v>3.83335E-2</v>
          </cell>
        </row>
        <row r="144">
          <cell r="O144">
            <v>32684</v>
          </cell>
        </row>
        <row r="154">
          <cell r="L154">
            <v>32.683999999999997</v>
          </cell>
        </row>
        <row r="340">
          <cell r="I340">
            <v>0</v>
          </cell>
          <cell r="L340">
            <v>0</v>
          </cell>
        </row>
        <row r="373">
          <cell r="L373">
            <v>4.9896965623199536</v>
          </cell>
        </row>
        <row r="406">
          <cell r="K406">
            <v>0.44075283272517762</v>
          </cell>
        </row>
        <row r="421">
          <cell r="AO421">
            <v>371293.76901408448</v>
          </cell>
        </row>
        <row r="423">
          <cell r="AO423">
            <v>0.89302861532552336</v>
          </cell>
        </row>
        <row r="437">
          <cell r="K437">
            <v>0.99793931246399081</v>
          </cell>
        </row>
        <row r="475">
          <cell r="M475">
            <v>1.0241021701555599</v>
          </cell>
        </row>
        <row r="503">
          <cell r="J503">
            <v>1.2963318609564047</v>
          </cell>
        </row>
        <row r="530">
          <cell r="E530">
            <v>2838017.8926825034</v>
          </cell>
        </row>
        <row r="554">
          <cell r="J554">
            <v>3.55</v>
          </cell>
        </row>
        <row r="618">
          <cell r="D618">
            <v>0.3840983291722681</v>
          </cell>
        </row>
        <row r="619">
          <cell r="D619">
            <v>0.28807374687920106</v>
          </cell>
        </row>
        <row r="620">
          <cell r="D620">
            <v>0.19204916458613405</v>
          </cell>
        </row>
        <row r="622">
          <cell r="D622">
            <v>89.325907432302671</v>
          </cell>
        </row>
      </sheetData>
      <sheetData sheetId="8"/>
      <sheetData sheetId="9"/>
      <sheetData sheetId="10"/>
      <sheetData sheetId="11"/>
      <sheetData sheetId="12"/>
      <sheetData sheetId="13">
        <row r="2">
          <cell r="I2">
            <v>10000</v>
          </cell>
        </row>
      </sheetData>
      <sheetData sheetId="14"/>
      <sheetData sheetId="15"/>
      <sheetData sheetId="16">
        <row r="339">
          <cell r="A339" t="str">
            <v>Гофроящики 40х40х80</v>
          </cell>
        </row>
        <row r="340">
          <cell r="A340" t="str">
            <v>Целофан пакет</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asia-business.ru/torg/complex/meat/meat_1848.html" TargetMode="External"/><Relationship Id="rId7" Type="http://schemas.openxmlformats.org/officeDocument/2006/relationships/printerSettings" Target="../printerSettings/printerSettings3.bin"/><Relationship Id="rId2" Type="http://schemas.openxmlformats.org/officeDocument/2006/relationships/hyperlink" Target="https://fermer.ru/sovet/rastenievodstvo/20410" TargetMode="External"/><Relationship Id="rId1" Type="http://schemas.openxmlformats.org/officeDocument/2006/relationships/hyperlink" Target="http://www.agriculture.uz/filesarchive/Surxandare_Viloyati_SOYA.pdf" TargetMode="External"/><Relationship Id="rId6" Type="http://schemas.openxmlformats.org/officeDocument/2006/relationships/hyperlink" Target="https://russian.alibaba.com/product-detail/asparagus-processing-line-asparagus-washing-machine-asparagus-bubble-washing-machine-60817812158.html?spm=a2700.8699010.normalList.22.5cc33852eg8C6a" TargetMode="External"/><Relationship Id="rId5" Type="http://schemas.openxmlformats.org/officeDocument/2006/relationships/hyperlink" Target="https://russian.alibaba.com/product-detail/soy-protein-isolate-making-machine-soya-protein-mince-machine-1600068360230.html?spm=a2700.8699010.normalList.55.553439d3uUOWjK" TargetMode="External"/><Relationship Id="rId4" Type="http://schemas.openxmlformats.org/officeDocument/2006/relationships/hyperlink" Target="https://russian.alibaba.com/product-detail/wholesale-tofu-bean-curd-machine-soybean-milk-boiler-soy-milk-filling-machine-1600129241938.html?spm=a2700.galleryofferlist.normal_offer.d_image.28792c37i15tCp"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asia-business.ru/torg/complex/meat/meat_1848.html" TargetMode="External"/><Relationship Id="rId7" Type="http://schemas.openxmlformats.org/officeDocument/2006/relationships/printerSettings" Target="../printerSettings/printerSettings4.bin"/><Relationship Id="rId2" Type="http://schemas.openxmlformats.org/officeDocument/2006/relationships/hyperlink" Target="https://fermer.ru/sovet/rastenievodstvo/20410" TargetMode="External"/><Relationship Id="rId1" Type="http://schemas.openxmlformats.org/officeDocument/2006/relationships/hyperlink" Target="http://www.agriculture.uz/filesarchive/Surxandare_Viloyati_SOYA.pdf" TargetMode="External"/><Relationship Id="rId6" Type="http://schemas.openxmlformats.org/officeDocument/2006/relationships/hyperlink" Target="https://russian.alibaba.com/product-detail/asparagus-processing-line-asparagus-washing-machine-asparagus-bubble-washing-machine-60817812158.html?spm=a2700.8699010.normalList.22.5cc33852eg8C6a" TargetMode="External"/><Relationship Id="rId5" Type="http://schemas.openxmlformats.org/officeDocument/2006/relationships/hyperlink" Target="https://russian.alibaba.com/product-detail/soy-protein-isolate-making-machine-soya-protein-mince-machine-1600068360230.html?spm=a2700.8699010.normalList.55.553439d3uUOWjK" TargetMode="External"/><Relationship Id="rId4" Type="http://schemas.openxmlformats.org/officeDocument/2006/relationships/hyperlink" Target="https://russian.alibaba.com/product-detail/wholesale-tofu-bean-curd-machine-soybean-milk-boiler-soy-milk-filling-machine-1600129241938.html?spm=a2700.galleryofferlist.normal_offer.d_image.28792c37i15tC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EF50D-02F8-4340-92E8-B104B921500E}">
  <sheetPr>
    <pageSetUpPr fitToPage="1"/>
  </sheetPr>
  <dimension ref="A3:AI49"/>
  <sheetViews>
    <sheetView tabSelected="1" topLeftCell="X1" zoomScale="62" zoomScaleNormal="62" workbookViewId="0">
      <selection activeCell="AB40" sqref="AB40:AD40"/>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hidden="1" customWidth="1" outlineLevel="1" collapsed="1"/>
    <col min="13" max="13" width="30.85546875" style="1" hidden="1" customWidth="1" outlineLevel="1"/>
    <col min="14" max="14" width="17.5703125" style="1" hidden="1" customWidth="1" outlineLevel="1"/>
    <col min="15" max="16" width="0" style="1" hidden="1" customWidth="1" outlineLevel="1"/>
    <col min="17" max="17" width="20.5703125" style="1" hidden="1" customWidth="1" outlineLevel="1"/>
    <col min="18" max="18" width="12.28515625" style="1" hidden="1" customWidth="1" outlineLevel="1"/>
    <col min="19" max="19" width="13.42578125" style="1" hidden="1" customWidth="1" outlineLevel="1"/>
    <col min="20" max="20" width="18.42578125" style="1" hidden="1" customWidth="1" outlineLevel="1"/>
    <col min="21" max="21" width="11.85546875" style="1" hidden="1" customWidth="1" outlineLevel="1"/>
    <col min="22" max="22" width="11.28515625" style="1" hidden="1" customWidth="1" outlineLevel="1"/>
    <col min="23" max="23" width="11.140625" style="1" hidden="1" customWidth="1" outlineLevel="1"/>
    <col min="24" max="24" width="7.28515625" style="1" customWidth="1" collapsed="1"/>
    <col min="25" max="25" width="46.140625" style="1" customWidth="1"/>
    <col min="26" max="26" width="17.42578125" style="1" customWidth="1"/>
    <col min="27" max="27" width="11.5703125" style="1"/>
    <col min="28" max="28" width="14.5703125" style="1" customWidth="1"/>
    <col min="29" max="29" width="15.7109375" style="1" customWidth="1"/>
    <col min="30" max="30" width="13.28515625" style="1" customWidth="1"/>
    <col min="31" max="31" width="17" style="1" customWidth="1"/>
    <col min="32" max="32" width="14.5703125" style="1" customWidth="1"/>
    <col min="33" max="33" width="13.5703125" style="1" customWidth="1"/>
    <col min="34" max="34" width="11.28515625" style="1" customWidth="1"/>
    <col min="35" max="35" width="14.7109375" style="1" customWidth="1"/>
    <col min="36" max="16384" width="11.5703125" style="1"/>
  </cols>
  <sheetData>
    <row r="3" spans="1:35" ht="18">
      <c r="J3" s="1" t="s">
        <v>0</v>
      </c>
      <c r="K3" s="1" t="s">
        <v>1</v>
      </c>
      <c r="V3" s="2" t="s">
        <v>2</v>
      </c>
      <c r="W3" s="2" t="s">
        <v>3</v>
      </c>
      <c r="Y3" s="3"/>
      <c r="Z3" s="3"/>
      <c r="AA3" s="3"/>
      <c r="AB3" s="3"/>
      <c r="AC3" s="3"/>
      <c r="AD3" s="3"/>
      <c r="AE3" s="3"/>
      <c r="AF3" s="3"/>
      <c r="AG3" s="3"/>
      <c r="AH3" s="4" t="s">
        <v>4</v>
      </c>
      <c r="AI3" s="4" t="s">
        <v>5</v>
      </c>
    </row>
    <row r="4" spans="1:35" ht="18">
      <c r="E4" s="5" t="s">
        <v>6</v>
      </c>
      <c r="F4" s="6"/>
      <c r="G4" s="6"/>
      <c r="J4" s="1" t="s">
        <v>7</v>
      </c>
      <c r="K4" s="7">
        <v>44053</v>
      </c>
      <c r="L4" s="7"/>
      <c r="P4" s="5" t="s">
        <v>6</v>
      </c>
      <c r="Q4" s="6"/>
      <c r="R4" s="6"/>
      <c r="V4" s="1" t="s">
        <v>7</v>
      </c>
      <c r="W4" s="7">
        <v>44053</v>
      </c>
      <c r="Y4" s="3"/>
      <c r="Z4" s="3"/>
      <c r="AA4" s="3"/>
      <c r="AB4" s="8" t="s">
        <v>8</v>
      </c>
      <c r="AC4" s="3"/>
      <c r="AD4" s="3"/>
      <c r="AE4" s="3"/>
      <c r="AF4" s="3"/>
      <c r="AG4" s="3"/>
      <c r="AH4" s="9" t="s">
        <v>9</v>
      </c>
      <c r="AI4" s="10">
        <v>44180</v>
      </c>
    </row>
    <row r="5" spans="1:35" ht="18">
      <c r="E5" s="5"/>
      <c r="F5" s="6"/>
      <c r="G5" s="6"/>
      <c r="P5" s="5"/>
      <c r="Q5" s="6"/>
      <c r="R5" s="6"/>
      <c r="Y5" s="3"/>
      <c r="Z5" s="3"/>
      <c r="AA5" s="3"/>
      <c r="AB5" s="8"/>
      <c r="AC5" s="3"/>
      <c r="AD5" s="3"/>
      <c r="AE5" s="3"/>
      <c r="AF5" s="3"/>
      <c r="AG5" s="3"/>
      <c r="AH5" s="3"/>
      <c r="AI5" s="3"/>
    </row>
    <row r="6" spans="1:35" ht="19.5" customHeight="1">
      <c r="A6" s="294" t="s">
        <v>10</v>
      </c>
      <c r="B6" s="294"/>
      <c r="C6" s="294"/>
      <c r="D6" s="294"/>
      <c r="E6" s="294"/>
      <c r="F6" s="294"/>
      <c r="G6" s="294"/>
      <c r="H6" s="294"/>
      <c r="I6" s="294"/>
      <c r="J6" s="294"/>
      <c r="K6" s="294"/>
      <c r="L6" s="11"/>
      <c r="M6" s="295" t="s">
        <v>10</v>
      </c>
      <c r="N6" s="295"/>
      <c r="O6" s="295"/>
      <c r="P6" s="295"/>
      <c r="Q6" s="295"/>
      <c r="R6" s="295"/>
      <c r="S6" s="295"/>
      <c r="T6" s="295"/>
      <c r="U6" s="295"/>
      <c r="V6" s="295"/>
      <c r="W6" s="295"/>
      <c r="Y6" s="296" t="s">
        <v>11</v>
      </c>
      <c r="Z6" s="296"/>
      <c r="AA6" s="296"/>
      <c r="AB6" s="296"/>
      <c r="AC6" s="296"/>
      <c r="AD6" s="296"/>
      <c r="AE6" s="296"/>
      <c r="AF6" s="296"/>
      <c r="AG6" s="296"/>
      <c r="AH6" s="296"/>
      <c r="AI6" s="296"/>
    </row>
    <row r="7" spans="1:35" ht="30.75" thickBot="1">
      <c r="A7" s="294" t="str">
        <f>'[38]БП-Анг'!D3</f>
        <v>Production of orthopedic mattresses</v>
      </c>
      <c r="B7" s="294"/>
      <c r="C7" s="294"/>
      <c r="D7" s="294"/>
      <c r="E7" s="294"/>
      <c r="F7" s="294"/>
      <c r="G7" s="294"/>
      <c r="H7" s="294"/>
      <c r="I7" s="294"/>
      <c r="J7" s="294"/>
      <c r="K7" s="294"/>
      <c r="L7" s="11"/>
      <c r="M7" s="294" t="str">
        <f>'[38]БП-Анг'!D3</f>
        <v>Production of orthopedic mattresses</v>
      </c>
      <c r="N7" s="294"/>
      <c r="O7" s="294"/>
      <c r="P7" s="294"/>
      <c r="Q7" s="294"/>
      <c r="R7" s="294"/>
      <c r="S7" s="294"/>
      <c r="T7" s="294"/>
      <c r="U7" s="294"/>
      <c r="V7" s="294"/>
      <c r="W7" s="294"/>
      <c r="Y7" s="297" t="str">
        <f>'Форма-отчета 22'!D3</f>
        <v>Производство соевого белка, соевого спаржа, соевого творога и соевого молока.</v>
      </c>
      <c r="Z7" s="297"/>
      <c r="AA7" s="297"/>
      <c r="AB7" s="297"/>
      <c r="AC7" s="297"/>
      <c r="AD7" s="297"/>
      <c r="AE7" s="297"/>
      <c r="AF7" s="297"/>
      <c r="AG7" s="297"/>
      <c r="AH7" s="297"/>
      <c r="AI7" s="297"/>
    </row>
    <row r="8" spans="1:35" ht="44.25" customHeight="1" thickTop="1" thickBot="1">
      <c r="A8" s="12" t="s">
        <v>12</v>
      </c>
      <c r="B8" s="291" t="s">
        <v>13</v>
      </c>
      <c r="C8" s="292"/>
      <c r="D8" s="292"/>
      <c r="E8" s="292"/>
      <c r="F8" s="292"/>
      <c r="G8" s="292"/>
      <c r="H8" s="292"/>
      <c r="I8" s="292"/>
      <c r="J8" s="292"/>
      <c r="K8" s="293"/>
      <c r="L8" s="13"/>
      <c r="M8" s="14" t="s">
        <v>12</v>
      </c>
      <c r="N8" s="220" t="str">
        <f>'[38]БП-Анг'!E5</f>
        <v>Production of orthopedic mattresses</v>
      </c>
      <c r="O8" s="221"/>
      <c r="P8" s="221"/>
      <c r="Q8" s="221"/>
      <c r="R8" s="221"/>
      <c r="S8" s="221"/>
      <c r="T8" s="221"/>
      <c r="U8" s="221"/>
      <c r="V8" s="221"/>
      <c r="W8" s="222"/>
      <c r="Y8" s="15" t="s">
        <v>14</v>
      </c>
      <c r="Z8" s="191" t="str">
        <f>'Форма-отчета 22'!$E$5</f>
        <v>Производство соевого белка, соевого спаржа,соевого творога и соевого молока. в ассортименте</v>
      </c>
      <c r="AA8" s="191"/>
      <c r="AB8" s="191"/>
      <c r="AC8" s="191"/>
      <c r="AD8" s="191"/>
      <c r="AE8" s="191"/>
      <c r="AF8" s="191"/>
      <c r="AG8" s="191"/>
      <c r="AH8" s="191"/>
      <c r="AI8" s="191"/>
    </row>
    <row r="9" spans="1:35" ht="47.25" customHeight="1" thickTop="1" thickBot="1">
      <c r="A9" s="16" t="s">
        <v>15</v>
      </c>
      <c r="B9" s="150" t="s">
        <v>16</v>
      </c>
      <c r="C9" s="151"/>
      <c r="D9" s="151"/>
      <c r="E9" s="151"/>
      <c r="F9" s="151"/>
      <c r="G9" s="151"/>
      <c r="H9" s="151"/>
      <c r="I9" s="151"/>
      <c r="J9" s="151"/>
      <c r="K9" s="152"/>
      <c r="L9" s="13"/>
      <c r="M9" s="14" t="s">
        <v>15</v>
      </c>
      <c r="N9" s="220" t="str">
        <f>'[38]БП-Анг'!E28</f>
        <v>Consumer goods for the population, furniture industry</v>
      </c>
      <c r="O9" s="221"/>
      <c r="P9" s="221"/>
      <c r="Q9" s="221"/>
      <c r="R9" s="221"/>
      <c r="S9" s="221"/>
      <c r="T9" s="221"/>
      <c r="U9" s="221"/>
      <c r="V9" s="221"/>
      <c r="W9" s="222"/>
      <c r="Y9" s="15" t="s">
        <v>17</v>
      </c>
      <c r="Z9" s="191" t="str">
        <f>'Форма-отчета 22'!$E$32</f>
        <v>Пищевая промышленность</v>
      </c>
      <c r="AA9" s="191"/>
      <c r="AB9" s="191"/>
      <c r="AC9" s="191"/>
      <c r="AD9" s="191"/>
      <c r="AE9" s="191"/>
      <c r="AF9" s="191"/>
      <c r="AG9" s="191"/>
      <c r="AH9" s="191"/>
      <c r="AI9" s="191"/>
    </row>
    <row r="10" spans="1:35" ht="34.5" customHeight="1" thickTop="1" thickBot="1">
      <c r="A10" s="16" t="s">
        <v>18</v>
      </c>
      <c r="B10" s="150" t="s">
        <v>19</v>
      </c>
      <c r="C10" s="151"/>
      <c r="D10" s="151"/>
      <c r="E10" s="151" t="s">
        <v>20</v>
      </c>
      <c r="F10" s="151"/>
      <c r="G10" s="151"/>
      <c r="H10" s="151" t="s">
        <v>21</v>
      </c>
      <c r="I10" s="151"/>
      <c r="J10" s="151"/>
      <c r="K10" s="152"/>
      <c r="L10" s="13"/>
      <c r="M10" s="14" t="s">
        <v>18</v>
      </c>
      <c r="N10" s="220" t="str">
        <f>'[38]БП-Анг'!E9</f>
        <v>FEZ "Termez", Surkhan-Darya region</v>
      </c>
      <c r="O10" s="221"/>
      <c r="P10" s="221"/>
      <c r="Q10" s="221"/>
      <c r="R10" s="222"/>
      <c r="S10" s="220" t="s">
        <v>22</v>
      </c>
      <c r="T10" s="221"/>
      <c r="U10" s="222"/>
      <c r="V10" s="17" t="s">
        <v>23</v>
      </c>
      <c r="W10" s="17" t="s">
        <v>24</v>
      </c>
      <c r="Y10" s="15" t="s">
        <v>25</v>
      </c>
      <c r="Z10" s="288" t="str">
        <f>'Форма-отчета 22'!E10</f>
        <v>Будет уточнено</v>
      </c>
      <c r="AA10" s="289"/>
      <c r="AB10" s="289"/>
      <c r="AC10" s="289"/>
      <c r="AD10" s="289"/>
      <c r="AE10" s="289"/>
      <c r="AF10" s="289"/>
      <c r="AG10" s="289"/>
      <c r="AH10" s="289"/>
      <c r="AI10" s="290"/>
    </row>
    <row r="11" spans="1:35" ht="36" customHeight="1" thickTop="1" thickBot="1">
      <c r="A11" s="16" t="s">
        <v>26</v>
      </c>
      <c r="B11" s="150"/>
      <c r="C11" s="151"/>
      <c r="D11" s="151"/>
      <c r="E11" s="151"/>
      <c r="F11" s="151"/>
      <c r="G11" s="151"/>
      <c r="H11" s="151"/>
      <c r="I11" s="151"/>
      <c r="J11" s="151"/>
      <c r="K11" s="152"/>
      <c r="L11" s="13"/>
      <c r="M11" s="14" t="s">
        <v>26</v>
      </c>
      <c r="N11" s="18" t="s">
        <v>27</v>
      </c>
      <c r="O11" s="187">
        <f>'[38]Форма-отчета 16'!E37+'[38]Форма-отчета 16'!I37+'[38]Форма-отчета 16'!L37</f>
        <v>64800</v>
      </c>
      <c r="P11" s="188"/>
      <c r="Q11" s="188"/>
      <c r="R11" s="188"/>
      <c r="S11" s="188"/>
      <c r="T11" s="188"/>
      <c r="U11" s="188"/>
      <c r="V11" s="188"/>
      <c r="W11" s="189"/>
      <c r="Y11" s="15" t="s">
        <v>28</v>
      </c>
      <c r="Z11" s="19" t="s">
        <v>29</v>
      </c>
      <c r="AA11" s="282">
        <f>'Форма-отчета 22'!P36</f>
        <v>5470.4</v>
      </c>
      <c r="AB11" s="283"/>
      <c r="AC11" s="283"/>
      <c r="AD11" s="283"/>
      <c r="AE11" s="283"/>
      <c r="AF11" s="283"/>
      <c r="AG11" s="283"/>
      <c r="AH11" s="283"/>
      <c r="AI11" s="284"/>
    </row>
    <row r="12" spans="1:35" ht="22.5" customHeight="1" thickTop="1" thickBot="1">
      <c r="A12" s="16" t="s">
        <v>30</v>
      </c>
      <c r="B12" s="150" t="s">
        <v>31</v>
      </c>
      <c r="C12" s="151"/>
      <c r="D12" s="151"/>
      <c r="E12" s="151"/>
      <c r="F12" s="151"/>
      <c r="G12" s="151"/>
      <c r="H12" s="151"/>
      <c r="I12" s="151"/>
      <c r="J12" s="151"/>
      <c r="K12" s="152"/>
      <c r="L12" s="13"/>
      <c r="M12" s="14" t="s">
        <v>30</v>
      </c>
      <c r="N12" s="18" t="s">
        <v>32</v>
      </c>
      <c r="O12" s="187">
        <f>'[38]Форма-отчета 16'!E215</f>
        <v>3263889</v>
      </c>
      <c r="P12" s="188"/>
      <c r="Q12" s="188"/>
      <c r="R12" s="188"/>
      <c r="S12" s="188"/>
      <c r="T12" s="188"/>
      <c r="U12" s="188"/>
      <c r="V12" s="188"/>
      <c r="W12" s="189"/>
      <c r="Y12" s="15" t="s">
        <v>33</v>
      </c>
      <c r="Z12" s="19" t="s">
        <v>32</v>
      </c>
      <c r="AA12" s="282">
        <f>'Форма-отчета 22'!E6</f>
        <v>7365322.7255111439</v>
      </c>
      <c r="AB12" s="283"/>
      <c r="AC12" s="283"/>
      <c r="AD12" s="283"/>
      <c r="AE12" s="283"/>
      <c r="AF12" s="283"/>
      <c r="AG12" s="283"/>
      <c r="AH12" s="283"/>
      <c r="AI12" s="284"/>
    </row>
    <row r="13" spans="1:35" ht="36" customHeight="1" thickTop="1" thickBot="1">
      <c r="A13" s="16" t="s">
        <v>34</v>
      </c>
      <c r="B13" s="150" t="s">
        <v>35</v>
      </c>
      <c r="C13" s="151"/>
      <c r="D13" s="151"/>
      <c r="E13" s="151"/>
      <c r="F13" s="151"/>
      <c r="G13" s="151"/>
      <c r="H13" s="151"/>
      <c r="I13" s="151"/>
      <c r="J13" s="151"/>
      <c r="K13" s="152"/>
      <c r="L13" s="13"/>
      <c r="M13" s="14" t="s">
        <v>34</v>
      </c>
      <c r="N13" s="18" t="s">
        <v>36</v>
      </c>
      <c r="O13" s="187">
        <f>'[38]Форма-отчета 16'!E224</f>
        <v>70.68500707069515</v>
      </c>
      <c r="P13" s="188"/>
      <c r="Q13" s="188"/>
      <c r="R13" s="188"/>
      <c r="S13" s="188"/>
      <c r="T13" s="188"/>
      <c r="U13" s="188"/>
      <c r="V13" s="188"/>
      <c r="W13" s="189"/>
      <c r="Y13" s="15" t="s">
        <v>37</v>
      </c>
      <c r="Z13" s="19" t="s">
        <v>38</v>
      </c>
      <c r="AA13" s="282">
        <f>'Форма-отчета 22'!E206</f>
        <v>46.719602563436339</v>
      </c>
      <c r="AB13" s="283"/>
      <c r="AC13" s="283"/>
      <c r="AD13" s="283"/>
      <c r="AE13" s="283"/>
      <c r="AF13" s="283"/>
      <c r="AG13" s="283"/>
      <c r="AH13" s="283"/>
      <c r="AI13" s="284"/>
    </row>
    <row r="14" spans="1:35" ht="26.25" customHeight="1" thickTop="1" thickBot="1">
      <c r="A14" s="285" t="s">
        <v>39</v>
      </c>
      <c r="B14" s="150" t="s">
        <v>40</v>
      </c>
      <c r="C14" s="151"/>
      <c r="D14" s="151"/>
      <c r="E14" s="151"/>
      <c r="F14" s="151"/>
      <c r="G14" s="151"/>
      <c r="H14" s="151"/>
      <c r="I14" s="151"/>
      <c r="J14" s="151"/>
      <c r="K14" s="152"/>
      <c r="L14" s="13"/>
      <c r="M14" s="141" t="s">
        <v>39</v>
      </c>
      <c r="N14" s="180" t="s">
        <v>41</v>
      </c>
      <c r="O14" s="181"/>
      <c r="P14" s="182"/>
      <c r="Q14" s="242" t="s">
        <v>23</v>
      </c>
      <c r="R14" s="243"/>
      <c r="S14" s="244"/>
      <c r="T14" s="242" t="s">
        <v>24</v>
      </c>
      <c r="U14" s="243"/>
      <c r="V14" s="243"/>
      <c r="W14" s="245"/>
      <c r="Y14" s="146" t="s">
        <v>42</v>
      </c>
      <c r="Z14" s="164" t="s">
        <v>43</v>
      </c>
      <c r="AA14" s="165"/>
      <c r="AB14" s="165"/>
      <c r="AC14" s="233" t="s">
        <v>44</v>
      </c>
      <c r="AD14" s="233"/>
      <c r="AE14" s="233"/>
      <c r="AF14" s="233"/>
      <c r="AG14" s="233"/>
      <c r="AH14" s="233"/>
      <c r="AI14" s="234"/>
    </row>
    <row r="15" spans="1:35" ht="24.75" customHeight="1" thickTop="1" thickBot="1">
      <c r="A15" s="286"/>
      <c r="B15" s="20"/>
      <c r="C15" s="21"/>
      <c r="D15" s="21"/>
      <c r="E15" s="21"/>
      <c r="F15" s="21"/>
      <c r="G15" s="21"/>
      <c r="H15" s="21"/>
      <c r="I15" s="21"/>
      <c r="J15" s="21"/>
      <c r="K15" s="22"/>
      <c r="L15" s="13"/>
      <c r="M15" s="241"/>
      <c r="N15" s="235" t="s">
        <v>45</v>
      </c>
      <c r="O15" s="236"/>
      <c r="P15" s="150"/>
      <c r="Q15" s="237" t="s">
        <v>23</v>
      </c>
      <c r="R15" s="238"/>
      <c r="S15" s="239"/>
      <c r="T15" s="237" t="s">
        <v>24</v>
      </c>
      <c r="U15" s="238"/>
      <c r="V15" s="238"/>
      <c r="W15" s="240"/>
      <c r="Y15" s="146"/>
      <c r="Z15" s="159" t="s">
        <v>46</v>
      </c>
      <c r="AA15" s="160"/>
      <c r="AB15" s="160"/>
      <c r="AC15" s="223"/>
      <c r="AD15" s="223"/>
      <c r="AE15" s="223"/>
      <c r="AF15" s="223" t="s">
        <v>47</v>
      </c>
      <c r="AG15" s="223"/>
      <c r="AH15" s="223"/>
      <c r="AI15" s="224"/>
    </row>
    <row r="16" spans="1:35" ht="26.25" customHeight="1" thickTop="1" thickBot="1">
      <c r="A16" s="287"/>
      <c r="B16" s="20"/>
      <c r="C16" s="21"/>
      <c r="D16" s="21"/>
      <c r="E16" s="21"/>
      <c r="F16" s="21"/>
      <c r="G16" s="21"/>
      <c r="H16" s="21"/>
      <c r="I16" s="21"/>
      <c r="J16" s="21"/>
      <c r="K16" s="22"/>
      <c r="L16" s="13"/>
      <c r="M16" s="142"/>
      <c r="N16" s="153" t="s">
        <v>48</v>
      </c>
      <c r="O16" s="154"/>
      <c r="P16" s="155"/>
      <c r="Q16" s="225" t="s">
        <v>23</v>
      </c>
      <c r="R16" s="226"/>
      <c r="S16" s="227"/>
      <c r="T16" s="225" t="s">
        <v>24</v>
      </c>
      <c r="U16" s="226"/>
      <c r="V16" s="226"/>
      <c r="W16" s="228"/>
      <c r="Y16" s="146"/>
      <c r="Z16" s="229" t="s">
        <v>49</v>
      </c>
      <c r="AA16" s="230"/>
      <c r="AB16" s="230"/>
      <c r="AC16" s="231"/>
      <c r="AD16" s="231"/>
      <c r="AE16" s="231"/>
      <c r="AF16" s="231" t="s">
        <v>47</v>
      </c>
      <c r="AG16" s="231"/>
      <c r="AH16" s="231"/>
      <c r="AI16" s="232"/>
    </row>
    <row r="17" spans="1:35" ht="39.75" customHeight="1" thickTop="1" thickBot="1">
      <c r="A17" s="16" t="s">
        <v>50</v>
      </c>
      <c r="B17" s="150" t="s">
        <v>51</v>
      </c>
      <c r="C17" s="151"/>
      <c r="D17" s="151"/>
      <c r="E17" s="151"/>
      <c r="F17" s="151"/>
      <c r="G17" s="151"/>
      <c r="H17" s="151"/>
      <c r="I17" s="151"/>
      <c r="J17" s="151"/>
      <c r="K17" s="152"/>
      <c r="L17" s="13"/>
      <c r="M17" s="141" t="s">
        <v>52</v>
      </c>
      <c r="N17" s="180" t="s">
        <v>53</v>
      </c>
      <c r="O17" s="181"/>
      <c r="P17" s="182"/>
      <c r="Q17" s="242" t="s">
        <v>23</v>
      </c>
      <c r="R17" s="243"/>
      <c r="S17" s="244"/>
      <c r="T17" s="242" t="s">
        <v>24</v>
      </c>
      <c r="U17" s="243"/>
      <c r="V17" s="243"/>
      <c r="W17" s="245"/>
      <c r="Y17" s="146" t="s">
        <v>54</v>
      </c>
      <c r="Z17" s="164" t="s">
        <v>55</v>
      </c>
      <c r="AA17" s="165"/>
      <c r="AB17" s="165"/>
      <c r="AC17" s="233" t="s">
        <v>44</v>
      </c>
      <c r="AD17" s="233"/>
      <c r="AE17" s="233"/>
      <c r="AF17" s="233"/>
      <c r="AG17" s="233"/>
      <c r="AH17" s="233"/>
      <c r="AI17" s="234"/>
    </row>
    <row r="18" spans="1:35" ht="27" customHeight="1" thickTop="1" thickBot="1">
      <c r="A18" s="16"/>
      <c r="B18" s="20"/>
      <c r="C18" s="21"/>
      <c r="D18" s="21"/>
      <c r="E18" s="21"/>
      <c r="F18" s="21"/>
      <c r="G18" s="21"/>
      <c r="H18" s="21"/>
      <c r="I18" s="21"/>
      <c r="J18" s="21"/>
      <c r="K18" s="22"/>
      <c r="L18" s="13"/>
      <c r="M18" s="241"/>
      <c r="N18" s="235" t="s">
        <v>56</v>
      </c>
      <c r="O18" s="236"/>
      <c r="P18" s="150"/>
      <c r="Q18" s="237"/>
      <c r="R18" s="238"/>
      <c r="S18" s="239"/>
      <c r="T18" s="237" t="s">
        <v>24</v>
      </c>
      <c r="U18" s="238"/>
      <c r="V18" s="238"/>
      <c r="W18" s="240"/>
      <c r="Y18" s="146"/>
      <c r="Z18" s="159" t="s">
        <v>57</v>
      </c>
      <c r="AA18" s="160"/>
      <c r="AB18" s="160"/>
      <c r="AC18" s="223"/>
      <c r="AD18" s="223"/>
      <c r="AE18" s="223"/>
      <c r="AF18" s="223" t="s">
        <v>47</v>
      </c>
      <c r="AG18" s="223"/>
      <c r="AH18" s="223"/>
      <c r="AI18" s="224"/>
    </row>
    <row r="19" spans="1:35" ht="21.75" customHeight="1" thickTop="1" thickBot="1">
      <c r="A19" s="16"/>
      <c r="B19" s="20"/>
      <c r="C19" s="21"/>
      <c r="D19" s="21"/>
      <c r="E19" s="21"/>
      <c r="F19" s="21"/>
      <c r="G19" s="21"/>
      <c r="H19" s="21"/>
      <c r="I19" s="21"/>
      <c r="J19" s="21"/>
      <c r="K19" s="22"/>
      <c r="L19" s="13"/>
      <c r="M19" s="241"/>
      <c r="N19" s="235" t="s">
        <v>58</v>
      </c>
      <c r="O19" s="236"/>
      <c r="P19" s="150"/>
      <c r="Q19" s="237"/>
      <c r="R19" s="238"/>
      <c r="S19" s="239"/>
      <c r="T19" s="237" t="s">
        <v>24</v>
      </c>
      <c r="U19" s="238"/>
      <c r="V19" s="238"/>
      <c r="W19" s="240"/>
      <c r="Y19" s="146"/>
      <c r="Z19" s="159" t="s">
        <v>59</v>
      </c>
      <c r="AA19" s="160"/>
      <c r="AB19" s="160"/>
      <c r="AC19" s="223"/>
      <c r="AD19" s="223"/>
      <c r="AE19" s="223"/>
      <c r="AF19" s="223" t="s">
        <v>47</v>
      </c>
      <c r="AG19" s="223"/>
      <c r="AH19" s="223"/>
      <c r="AI19" s="224"/>
    </row>
    <row r="20" spans="1:35" ht="29.25" customHeight="1" thickTop="1" thickBot="1">
      <c r="A20" s="16"/>
      <c r="B20" s="20"/>
      <c r="C20" s="21"/>
      <c r="D20" s="21"/>
      <c r="E20" s="21"/>
      <c r="F20" s="21"/>
      <c r="G20" s="21"/>
      <c r="H20" s="21"/>
      <c r="I20" s="21"/>
      <c r="J20" s="21"/>
      <c r="K20" s="22"/>
      <c r="L20" s="13"/>
      <c r="M20" s="142"/>
      <c r="N20" s="153" t="s">
        <v>60</v>
      </c>
      <c r="O20" s="154"/>
      <c r="P20" s="155"/>
      <c r="Q20" s="225"/>
      <c r="R20" s="226"/>
      <c r="S20" s="227"/>
      <c r="T20" s="225" t="s">
        <v>24</v>
      </c>
      <c r="U20" s="226"/>
      <c r="V20" s="226"/>
      <c r="W20" s="228"/>
      <c r="Y20" s="146"/>
      <c r="Z20" s="229" t="s">
        <v>61</v>
      </c>
      <c r="AA20" s="230"/>
      <c r="AB20" s="230"/>
      <c r="AC20" s="231"/>
      <c r="AD20" s="231"/>
      <c r="AE20" s="231"/>
      <c r="AF20" s="231" t="s">
        <v>47</v>
      </c>
      <c r="AG20" s="231"/>
      <c r="AH20" s="231"/>
      <c r="AI20" s="232"/>
    </row>
    <row r="21" spans="1:35" ht="30" customHeight="1" thickTop="1" thickBot="1">
      <c r="A21" s="16" t="s">
        <v>62</v>
      </c>
      <c r="B21" s="150" t="s">
        <v>63</v>
      </c>
      <c r="C21" s="151"/>
      <c r="D21" s="151"/>
      <c r="E21" s="151"/>
      <c r="F21" s="151"/>
      <c r="G21" s="151"/>
      <c r="H21" s="151"/>
      <c r="I21" s="151"/>
      <c r="J21" s="151"/>
      <c r="K21" s="152"/>
      <c r="L21" s="13"/>
      <c r="M21" s="141" t="s">
        <v>64</v>
      </c>
      <c r="N21" s="180" t="s">
        <v>65</v>
      </c>
      <c r="O21" s="181"/>
      <c r="P21" s="182"/>
      <c r="Q21" s="242" t="s">
        <v>23</v>
      </c>
      <c r="R21" s="243"/>
      <c r="S21" s="244"/>
      <c r="T21" s="242" t="s">
        <v>24</v>
      </c>
      <c r="U21" s="243"/>
      <c r="V21" s="243"/>
      <c r="W21" s="245"/>
      <c r="Y21" s="146" t="s">
        <v>66</v>
      </c>
      <c r="Z21" s="276" t="s">
        <v>47</v>
      </c>
      <c r="AA21" s="268"/>
      <c r="AB21" s="268"/>
      <c r="AC21" s="268"/>
      <c r="AD21" s="268"/>
      <c r="AE21" s="268"/>
      <c r="AF21" s="268"/>
      <c r="AG21" s="268"/>
      <c r="AH21" s="268"/>
      <c r="AI21" s="269"/>
    </row>
    <row r="22" spans="1:35" ht="45" customHeight="1" thickTop="1" thickBot="1">
      <c r="A22" s="16"/>
      <c r="B22" s="20"/>
      <c r="C22" s="21"/>
      <c r="D22" s="21"/>
      <c r="E22" s="21"/>
      <c r="F22" s="21"/>
      <c r="G22" s="21"/>
      <c r="H22" s="21"/>
      <c r="I22" s="21"/>
      <c r="J22" s="21"/>
      <c r="K22" s="22"/>
      <c r="L22" s="13"/>
      <c r="M22" s="142"/>
      <c r="N22" s="153" t="s">
        <v>67</v>
      </c>
      <c r="O22" s="154"/>
      <c r="P22" s="155"/>
      <c r="Q22" s="250" t="s">
        <v>68</v>
      </c>
      <c r="R22" s="251"/>
      <c r="S22" s="251"/>
      <c r="T22" s="251"/>
      <c r="U22" s="251"/>
      <c r="V22" s="251"/>
      <c r="W22" s="252"/>
      <c r="Y22" s="146"/>
      <c r="Z22" s="280" t="s">
        <v>69</v>
      </c>
      <c r="AA22" s="254"/>
      <c r="AB22" s="254"/>
      <c r="AC22" s="254"/>
      <c r="AD22" s="254"/>
      <c r="AE22" s="254"/>
      <c r="AF22" s="254"/>
      <c r="AG22" s="254"/>
      <c r="AH22" s="254"/>
      <c r="AI22" s="255"/>
    </row>
    <row r="23" spans="1:35" ht="28.5" customHeight="1" thickTop="1" thickBot="1">
      <c r="A23" s="176" t="s">
        <v>70</v>
      </c>
      <c r="B23" s="150" t="s">
        <v>20</v>
      </c>
      <c r="C23" s="151"/>
      <c r="D23" s="151"/>
      <c r="E23" s="151"/>
      <c r="F23" s="151"/>
      <c r="G23" s="151" t="s">
        <v>21</v>
      </c>
      <c r="H23" s="151"/>
      <c r="I23" s="151"/>
      <c r="J23" s="151"/>
      <c r="K23" s="152"/>
      <c r="L23" s="13"/>
      <c r="M23" s="141" t="s">
        <v>71</v>
      </c>
      <c r="N23" s="281" t="s">
        <v>23</v>
      </c>
      <c r="O23" s="243"/>
      <c r="P23" s="243"/>
      <c r="Q23" s="243"/>
      <c r="R23" s="244"/>
      <c r="S23" s="242" t="s">
        <v>24</v>
      </c>
      <c r="T23" s="243"/>
      <c r="U23" s="243"/>
      <c r="V23" s="243"/>
      <c r="W23" s="245"/>
      <c r="Y23" s="146" t="s">
        <v>72</v>
      </c>
      <c r="Z23" s="276" t="s">
        <v>47</v>
      </c>
      <c r="AA23" s="268"/>
      <c r="AB23" s="268"/>
      <c r="AC23" s="268"/>
      <c r="AD23" s="268"/>
      <c r="AE23" s="268"/>
      <c r="AF23" s="268"/>
      <c r="AG23" s="268"/>
      <c r="AH23" s="268"/>
      <c r="AI23" s="269"/>
    </row>
    <row r="24" spans="1:35" ht="41.25" customHeight="1" thickTop="1" thickBot="1">
      <c r="A24" s="176"/>
      <c r="B24" s="150" t="s">
        <v>73</v>
      </c>
      <c r="C24" s="151"/>
      <c r="D24" s="151"/>
      <c r="E24" s="151"/>
      <c r="F24" s="151"/>
      <c r="G24" s="151"/>
      <c r="H24" s="151"/>
      <c r="I24" s="151"/>
      <c r="J24" s="151"/>
      <c r="K24" s="152"/>
      <c r="L24" s="13"/>
      <c r="M24" s="142"/>
      <c r="N24" s="277" t="s">
        <v>74</v>
      </c>
      <c r="O24" s="278"/>
      <c r="P24" s="278"/>
      <c r="Q24" s="278"/>
      <c r="R24" s="279"/>
      <c r="S24" s="250" t="s">
        <v>75</v>
      </c>
      <c r="T24" s="251"/>
      <c r="U24" s="251"/>
      <c r="V24" s="251"/>
      <c r="W24" s="252"/>
      <c r="Y24" s="146"/>
      <c r="Z24" s="280" t="s">
        <v>76</v>
      </c>
      <c r="AA24" s="254"/>
      <c r="AB24" s="254"/>
      <c r="AC24" s="254"/>
      <c r="AD24" s="254"/>
      <c r="AE24" s="254"/>
      <c r="AF24" s="254"/>
      <c r="AG24" s="254"/>
      <c r="AH24" s="254"/>
      <c r="AI24" s="255"/>
    </row>
    <row r="25" spans="1:35" ht="30" customHeight="1" thickTop="1" thickBot="1">
      <c r="A25" s="176" t="s">
        <v>77</v>
      </c>
      <c r="B25" s="150" t="s">
        <v>78</v>
      </c>
      <c r="C25" s="151"/>
      <c r="D25" s="151"/>
      <c r="E25" s="151" t="s">
        <v>20</v>
      </c>
      <c r="F25" s="151"/>
      <c r="G25" s="151"/>
      <c r="H25" s="151" t="s">
        <v>21</v>
      </c>
      <c r="I25" s="151"/>
      <c r="J25" s="151"/>
      <c r="K25" s="152"/>
      <c r="L25" s="13"/>
      <c r="M25" s="141" t="s">
        <v>79</v>
      </c>
      <c r="N25" s="270" t="s">
        <v>80</v>
      </c>
      <c r="O25" s="271"/>
      <c r="P25" s="272"/>
      <c r="Q25" s="242" t="s">
        <v>23</v>
      </c>
      <c r="R25" s="243"/>
      <c r="S25" s="244"/>
      <c r="T25" s="242" t="s">
        <v>24</v>
      </c>
      <c r="U25" s="243"/>
      <c r="V25" s="243"/>
      <c r="W25" s="245"/>
      <c r="Y25" s="146" t="s">
        <v>81</v>
      </c>
      <c r="Z25" s="164" t="s">
        <v>82</v>
      </c>
      <c r="AA25" s="165"/>
      <c r="AB25" s="165"/>
      <c r="AC25" s="267" t="s">
        <v>47</v>
      </c>
      <c r="AD25" s="268"/>
      <c r="AE25" s="268"/>
      <c r="AF25" s="268"/>
      <c r="AG25" s="268"/>
      <c r="AH25" s="268"/>
      <c r="AI25" s="269"/>
    </row>
    <row r="26" spans="1:35" ht="36.75" customHeight="1" thickTop="1" thickBot="1">
      <c r="A26" s="176"/>
      <c r="B26" s="150"/>
      <c r="C26" s="151"/>
      <c r="D26" s="151"/>
      <c r="E26" s="151" t="s">
        <v>83</v>
      </c>
      <c r="F26" s="151"/>
      <c r="G26" s="151"/>
      <c r="H26" s="151"/>
      <c r="I26" s="151"/>
      <c r="J26" s="151"/>
      <c r="K26" s="152"/>
      <c r="L26" s="13"/>
      <c r="M26" s="241"/>
      <c r="N26" s="273"/>
      <c r="O26" s="274"/>
      <c r="P26" s="275"/>
      <c r="Q26" s="262" t="s">
        <v>84</v>
      </c>
      <c r="R26" s="236"/>
      <c r="S26" s="150"/>
      <c r="T26" s="262" t="s">
        <v>85</v>
      </c>
      <c r="U26" s="236"/>
      <c r="V26" s="236"/>
      <c r="W26" s="263"/>
      <c r="Y26" s="146"/>
      <c r="Z26" s="159"/>
      <c r="AA26" s="160"/>
      <c r="AB26" s="160"/>
      <c r="AC26" s="264" t="s">
        <v>86</v>
      </c>
      <c r="AD26" s="265"/>
      <c r="AE26" s="265"/>
      <c r="AF26" s="265"/>
      <c r="AG26" s="265"/>
      <c r="AH26" s="265"/>
      <c r="AI26" s="266"/>
    </row>
    <row r="27" spans="1:35" ht="30" thickTop="1" thickBot="1">
      <c r="A27" s="176"/>
      <c r="B27" s="150" t="s">
        <v>87</v>
      </c>
      <c r="C27" s="151"/>
      <c r="D27" s="151"/>
      <c r="E27" s="151" t="s">
        <v>20</v>
      </c>
      <c r="F27" s="151"/>
      <c r="G27" s="151"/>
      <c r="H27" s="151" t="s">
        <v>21</v>
      </c>
      <c r="I27" s="151"/>
      <c r="J27" s="151"/>
      <c r="K27" s="152"/>
      <c r="L27" s="13" t="s">
        <v>88</v>
      </c>
      <c r="M27" s="241"/>
      <c r="N27" s="256" t="s">
        <v>88</v>
      </c>
      <c r="O27" s="257"/>
      <c r="P27" s="258"/>
      <c r="Q27" s="237" t="s">
        <v>23</v>
      </c>
      <c r="R27" s="238"/>
      <c r="S27" s="239"/>
      <c r="T27" s="237" t="s">
        <v>24</v>
      </c>
      <c r="U27" s="238"/>
      <c r="V27" s="238"/>
      <c r="W27" s="240"/>
      <c r="Y27" s="146"/>
      <c r="Z27" s="159" t="s">
        <v>89</v>
      </c>
      <c r="AA27" s="160"/>
      <c r="AB27" s="160"/>
      <c r="AC27" s="246" t="s">
        <v>47</v>
      </c>
      <c r="AD27" s="247"/>
      <c r="AE27" s="247"/>
      <c r="AF27" s="247"/>
      <c r="AG27" s="247"/>
      <c r="AH27" s="247"/>
      <c r="AI27" s="248"/>
    </row>
    <row r="28" spans="1:35" ht="36.75" customHeight="1" thickTop="1" thickBot="1">
      <c r="A28" s="176"/>
      <c r="B28" s="150"/>
      <c r="C28" s="151"/>
      <c r="D28" s="151"/>
      <c r="E28" s="151" t="s">
        <v>83</v>
      </c>
      <c r="F28" s="151"/>
      <c r="G28" s="151"/>
      <c r="H28" s="151"/>
      <c r="I28" s="151"/>
      <c r="J28" s="151"/>
      <c r="K28" s="152"/>
      <c r="L28" s="13"/>
      <c r="M28" s="241"/>
      <c r="N28" s="273"/>
      <c r="O28" s="274"/>
      <c r="P28" s="275"/>
      <c r="Q28" s="262" t="str">
        <f>Q26</f>
        <v xml:space="preserve">If not, what do you need? 
</v>
      </c>
      <c r="R28" s="236"/>
      <c r="S28" s="150"/>
      <c r="T28" s="262" t="s">
        <v>85</v>
      </c>
      <c r="U28" s="236"/>
      <c r="V28" s="236"/>
      <c r="W28" s="263"/>
      <c r="Y28" s="146"/>
      <c r="Z28" s="159"/>
      <c r="AA28" s="160"/>
      <c r="AB28" s="160"/>
      <c r="AC28" s="264" t="s">
        <v>86</v>
      </c>
      <c r="AD28" s="265"/>
      <c r="AE28" s="265"/>
      <c r="AF28" s="265"/>
      <c r="AG28" s="265"/>
      <c r="AH28" s="265"/>
      <c r="AI28" s="266"/>
    </row>
    <row r="29" spans="1:35" ht="44.25" thickTop="1" thickBot="1">
      <c r="A29" s="176"/>
      <c r="B29" s="150" t="s">
        <v>90</v>
      </c>
      <c r="C29" s="151"/>
      <c r="D29" s="151"/>
      <c r="E29" s="151" t="s">
        <v>20</v>
      </c>
      <c r="F29" s="151"/>
      <c r="G29" s="151"/>
      <c r="H29" s="151" t="s">
        <v>21</v>
      </c>
      <c r="I29" s="151"/>
      <c r="J29" s="151"/>
      <c r="K29" s="152"/>
      <c r="L29" s="13" t="s">
        <v>91</v>
      </c>
      <c r="M29" s="241"/>
      <c r="N29" s="256" t="s">
        <v>91</v>
      </c>
      <c r="O29" s="257"/>
      <c r="P29" s="258"/>
      <c r="Q29" s="237" t="s">
        <v>23</v>
      </c>
      <c r="R29" s="238"/>
      <c r="S29" s="239"/>
      <c r="T29" s="237" t="s">
        <v>24</v>
      </c>
      <c r="U29" s="238"/>
      <c r="V29" s="238"/>
      <c r="W29" s="240"/>
      <c r="Y29" s="146"/>
      <c r="Z29" s="159" t="s">
        <v>92</v>
      </c>
      <c r="AA29" s="160"/>
      <c r="AB29" s="160"/>
      <c r="AC29" s="246" t="s">
        <v>47</v>
      </c>
      <c r="AD29" s="247"/>
      <c r="AE29" s="247"/>
      <c r="AF29" s="247"/>
      <c r="AG29" s="247"/>
      <c r="AH29" s="247"/>
      <c r="AI29" s="248"/>
    </row>
    <row r="30" spans="1:35" ht="40.5" customHeight="1" thickTop="1" thickBot="1">
      <c r="A30" s="176"/>
      <c r="B30" s="150"/>
      <c r="C30" s="151"/>
      <c r="D30" s="151"/>
      <c r="E30" s="151" t="s">
        <v>83</v>
      </c>
      <c r="F30" s="151"/>
      <c r="G30" s="151"/>
      <c r="H30" s="151"/>
      <c r="I30" s="151"/>
      <c r="J30" s="151"/>
      <c r="K30" s="152"/>
      <c r="L30" s="13"/>
      <c r="M30" s="142"/>
      <c r="N30" s="259"/>
      <c r="O30" s="260"/>
      <c r="P30" s="261"/>
      <c r="Q30" s="249" t="str">
        <f>Q26</f>
        <v xml:space="preserve">If not, what do you need? 
</v>
      </c>
      <c r="R30" s="154"/>
      <c r="S30" s="155"/>
      <c r="T30" s="250" t="s">
        <v>93</v>
      </c>
      <c r="U30" s="251"/>
      <c r="V30" s="251"/>
      <c r="W30" s="252"/>
      <c r="Y30" s="146"/>
      <c r="Z30" s="229"/>
      <c r="AA30" s="230"/>
      <c r="AB30" s="230"/>
      <c r="AC30" s="253" t="s">
        <v>94</v>
      </c>
      <c r="AD30" s="254"/>
      <c r="AE30" s="254"/>
      <c r="AF30" s="254"/>
      <c r="AG30" s="254"/>
      <c r="AH30" s="254"/>
      <c r="AI30" s="255"/>
    </row>
    <row r="31" spans="1:35" ht="20.25" thickTop="1" thickBot="1">
      <c r="A31" s="176" t="s">
        <v>95</v>
      </c>
      <c r="B31" s="150" t="s">
        <v>96</v>
      </c>
      <c r="C31" s="151"/>
      <c r="D31" s="151"/>
      <c r="E31" s="151" t="s">
        <v>20</v>
      </c>
      <c r="F31" s="151"/>
      <c r="G31" s="151"/>
      <c r="H31" s="151" t="s">
        <v>21</v>
      </c>
      <c r="I31" s="151"/>
      <c r="J31" s="151"/>
      <c r="K31" s="152"/>
      <c r="L31" s="13"/>
      <c r="M31" s="141" t="s">
        <v>97</v>
      </c>
      <c r="N31" s="180" t="s">
        <v>98</v>
      </c>
      <c r="O31" s="181"/>
      <c r="P31" s="182"/>
      <c r="Q31" s="242" t="s">
        <v>23</v>
      </c>
      <c r="R31" s="243"/>
      <c r="S31" s="244"/>
      <c r="T31" s="242" t="s">
        <v>24</v>
      </c>
      <c r="U31" s="243"/>
      <c r="V31" s="243"/>
      <c r="W31" s="245"/>
      <c r="Y31" s="146" t="s">
        <v>99</v>
      </c>
      <c r="Z31" s="164" t="s">
        <v>100</v>
      </c>
      <c r="AA31" s="165"/>
      <c r="AB31" s="165"/>
      <c r="AC31" s="233" t="s">
        <v>44</v>
      </c>
      <c r="AD31" s="233"/>
      <c r="AE31" s="233"/>
      <c r="AF31" s="233"/>
      <c r="AG31" s="233"/>
      <c r="AH31" s="233"/>
      <c r="AI31" s="234"/>
    </row>
    <row r="32" spans="1:35" ht="25.5" customHeight="1" thickTop="1" thickBot="1">
      <c r="A32" s="176"/>
      <c r="B32" s="150" t="s">
        <v>101</v>
      </c>
      <c r="C32" s="151"/>
      <c r="D32" s="151"/>
      <c r="E32" s="151" t="s">
        <v>20</v>
      </c>
      <c r="F32" s="151"/>
      <c r="G32" s="151"/>
      <c r="H32" s="151" t="s">
        <v>21</v>
      </c>
      <c r="I32" s="151"/>
      <c r="J32" s="151"/>
      <c r="K32" s="152"/>
      <c r="L32" s="13"/>
      <c r="M32" s="241"/>
      <c r="N32" s="235" t="s">
        <v>102</v>
      </c>
      <c r="O32" s="236"/>
      <c r="P32" s="150"/>
      <c r="Q32" s="237" t="s">
        <v>23</v>
      </c>
      <c r="R32" s="238"/>
      <c r="S32" s="239"/>
      <c r="T32" s="237" t="s">
        <v>24</v>
      </c>
      <c r="U32" s="238"/>
      <c r="V32" s="238"/>
      <c r="W32" s="240"/>
      <c r="Y32" s="146"/>
      <c r="Z32" s="159" t="s">
        <v>103</v>
      </c>
      <c r="AA32" s="160"/>
      <c r="AB32" s="160"/>
      <c r="AC32" s="223" t="s">
        <v>44</v>
      </c>
      <c r="AD32" s="223"/>
      <c r="AE32" s="223"/>
      <c r="AF32" s="223"/>
      <c r="AG32" s="223"/>
      <c r="AH32" s="223"/>
      <c r="AI32" s="224"/>
    </row>
    <row r="33" spans="1:35" ht="36" customHeight="1" thickTop="1" thickBot="1">
      <c r="A33" s="176"/>
      <c r="B33" s="150" t="s">
        <v>104</v>
      </c>
      <c r="C33" s="151"/>
      <c r="D33" s="151"/>
      <c r="E33" s="151" t="s">
        <v>20</v>
      </c>
      <c r="F33" s="151"/>
      <c r="G33" s="151"/>
      <c r="H33" s="151" t="s">
        <v>21</v>
      </c>
      <c r="I33" s="151"/>
      <c r="J33" s="151"/>
      <c r="K33" s="152"/>
      <c r="L33" s="13"/>
      <c r="M33" s="142"/>
      <c r="N33" s="153" t="s">
        <v>105</v>
      </c>
      <c r="O33" s="154"/>
      <c r="P33" s="155"/>
      <c r="Q33" s="225" t="s">
        <v>23</v>
      </c>
      <c r="R33" s="226"/>
      <c r="S33" s="227"/>
      <c r="T33" s="225" t="s">
        <v>24</v>
      </c>
      <c r="U33" s="226"/>
      <c r="V33" s="226"/>
      <c r="W33" s="228"/>
      <c r="Y33" s="146"/>
      <c r="Z33" s="229" t="s">
        <v>106</v>
      </c>
      <c r="AA33" s="230"/>
      <c r="AB33" s="230"/>
      <c r="AC33" s="231" t="s">
        <v>44</v>
      </c>
      <c r="AD33" s="231"/>
      <c r="AE33" s="231"/>
      <c r="AF33" s="231"/>
      <c r="AG33" s="231"/>
      <c r="AH33" s="231"/>
      <c r="AI33" s="232"/>
    </row>
    <row r="34" spans="1:35" ht="30" customHeight="1" thickTop="1" thickBot="1">
      <c r="A34" s="16"/>
      <c r="B34" s="20"/>
      <c r="C34" s="21"/>
      <c r="D34" s="21"/>
      <c r="E34" s="21"/>
      <c r="F34" s="21"/>
      <c r="G34" s="21"/>
      <c r="H34" s="21"/>
      <c r="I34" s="21"/>
      <c r="J34" s="21"/>
      <c r="K34" s="22"/>
      <c r="L34" s="13"/>
      <c r="M34" s="141" t="s">
        <v>107</v>
      </c>
      <c r="N34" s="180" t="s">
        <v>108</v>
      </c>
      <c r="O34" s="181"/>
      <c r="P34" s="182"/>
      <c r="Q34" s="242" t="s">
        <v>23</v>
      </c>
      <c r="R34" s="243"/>
      <c r="S34" s="244"/>
      <c r="T34" s="242" t="s">
        <v>24</v>
      </c>
      <c r="U34" s="243"/>
      <c r="V34" s="243"/>
      <c r="W34" s="245"/>
      <c r="Y34" s="146" t="s">
        <v>109</v>
      </c>
      <c r="Z34" s="164" t="s">
        <v>110</v>
      </c>
      <c r="AA34" s="165"/>
      <c r="AB34" s="165"/>
      <c r="AC34" s="233" t="s">
        <v>44</v>
      </c>
      <c r="AD34" s="233"/>
      <c r="AE34" s="233"/>
      <c r="AF34" s="233"/>
      <c r="AG34" s="233"/>
      <c r="AH34" s="233"/>
      <c r="AI34" s="234"/>
    </row>
    <row r="35" spans="1:35" ht="38.25" customHeight="1" thickTop="1" thickBot="1">
      <c r="A35" s="16"/>
      <c r="B35" s="20"/>
      <c r="C35" s="21"/>
      <c r="D35" s="21"/>
      <c r="E35" s="21"/>
      <c r="F35" s="21"/>
      <c r="G35" s="21"/>
      <c r="H35" s="21"/>
      <c r="I35" s="21"/>
      <c r="J35" s="21"/>
      <c r="K35" s="22"/>
      <c r="L35" s="13"/>
      <c r="M35" s="241"/>
      <c r="N35" s="235" t="s">
        <v>111</v>
      </c>
      <c r="O35" s="236"/>
      <c r="P35" s="150"/>
      <c r="Q35" s="237" t="s">
        <v>23</v>
      </c>
      <c r="R35" s="238"/>
      <c r="S35" s="239"/>
      <c r="T35" s="237" t="s">
        <v>24</v>
      </c>
      <c r="U35" s="238"/>
      <c r="V35" s="238"/>
      <c r="W35" s="240"/>
      <c r="Y35" s="146"/>
      <c r="Z35" s="159" t="s">
        <v>112</v>
      </c>
      <c r="AA35" s="160"/>
      <c r="AB35" s="160"/>
      <c r="AC35" s="223" t="s">
        <v>44</v>
      </c>
      <c r="AD35" s="223"/>
      <c r="AE35" s="223"/>
      <c r="AF35" s="223"/>
      <c r="AG35" s="223"/>
      <c r="AH35" s="223"/>
      <c r="AI35" s="224"/>
    </row>
    <row r="36" spans="1:35" ht="38.25" customHeight="1" thickTop="1" thickBot="1">
      <c r="A36" s="16"/>
      <c r="B36" s="20"/>
      <c r="C36" s="21"/>
      <c r="D36" s="21"/>
      <c r="E36" s="21"/>
      <c r="F36" s="21"/>
      <c r="G36" s="21"/>
      <c r="H36" s="21"/>
      <c r="I36" s="21"/>
      <c r="J36" s="21"/>
      <c r="K36" s="22"/>
      <c r="L36" s="13"/>
      <c r="M36" s="241"/>
      <c r="N36" s="235" t="s">
        <v>113</v>
      </c>
      <c r="O36" s="236"/>
      <c r="P36" s="150"/>
      <c r="Q36" s="237" t="s">
        <v>23</v>
      </c>
      <c r="R36" s="238"/>
      <c r="S36" s="239"/>
      <c r="T36" s="237" t="s">
        <v>24</v>
      </c>
      <c r="U36" s="238"/>
      <c r="V36" s="238"/>
      <c r="W36" s="240"/>
      <c r="Y36" s="146"/>
      <c r="Z36" s="159" t="s">
        <v>114</v>
      </c>
      <c r="AA36" s="160"/>
      <c r="AB36" s="160"/>
      <c r="AC36" s="223"/>
      <c r="AD36" s="223"/>
      <c r="AE36" s="223"/>
      <c r="AF36" s="223" t="s">
        <v>47</v>
      </c>
      <c r="AG36" s="223"/>
      <c r="AH36" s="223"/>
      <c r="AI36" s="224"/>
    </row>
    <row r="37" spans="1:35" ht="42.75" customHeight="1" thickTop="1" thickBot="1">
      <c r="A37" s="16"/>
      <c r="B37" s="20"/>
      <c r="C37" s="21"/>
      <c r="D37" s="21"/>
      <c r="E37" s="21"/>
      <c r="F37" s="21"/>
      <c r="G37" s="21"/>
      <c r="H37" s="21"/>
      <c r="I37" s="21"/>
      <c r="J37" s="21"/>
      <c r="K37" s="22"/>
      <c r="L37" s="13"/>
      <c r="M37" s="142"/>
      <c r="N37" s="153" t="s">
        <v>115</v>
      </c>
      <c r="O37" s="154"/>
      <c r="P37" s="155"/>
      <c r="Q37" s="225" t="s">
        <v>23</v>
      </c>
      <c r="R37" s="226"/>
      <c r="S37" s="227"/>
      <c r="T37" s="225" t="s">
        <v>24</v>
      </c>
      <c r="U37" s="226"/>
      <c r="V37" s="226"/>
      <c r="W37" s="228"/>
      <c r="Y37" s="146"/>
      <c r="Z37" s="229" t="s">
        <v>116</v>
      </c>
      <c r="AA37" s="230"/>
      <c r="AB37" s="230"/>
      <c r="AC37" s="231"/>
      <c r="AD37" s="231"/>
      <c r="AE37" s="231"/>
      <c r="AF37" s="231" t="s">
        <v>47</v>
      </c>
      <c r="AG37" s="231"/>
      <c r="AH37" s="231"/>
      <c r="AI37" s="232"/>
    </row>
    <row r="38" spans="1:35" ht="43.5" customHeight="1" thickTop="1" thickBot="1">
      <c r="A38" s="16" t="s">
        <v>117</v>
      </c>
      <c r="B38" s="20" t="s">
        <v>96</v>
      </c>
      <c r="C38" s="151" t="s">
        <v>20</v>
      </c>
      <c r="D38" s="151"/>
      <c r="E38" s="151" t="s">
        <v>21</v>
      </c>
      <c r="F38" s="151"/>
      <c r="G38" s="21" t="s">
        <v>118</v>
      </c>
      <c r="H38" s="151" t="s">
        <v>20</v>
      </c>
      <c r="I38" s="151"/>
      <c r="J38" s="151"/>
      <c r="K38" s="22" t="s">
        <v>21</v>
      </c>
      <c r="L38" s="13"/>
      <c r="M38" s="14" t="s">
        <v>119</v>
      </c>
      <c r="N38" s="220" t="s">
        <v>120</v>
      </c>
      <c r="O38" s="221"/>
      <c r="P38" s="222"/>
      <c r="Q38" s="17" t="s">
        <v>23</v>
      </c>
      <c r="R38" s="17" t="s">
        <v>24</v>
      </c>
      <c r="S38" s="220" t="s">
        <v>121</v>
      </c>
      <c r="T38" s="221"/>
      <c r="U38" s="222"/>
      <c r="V38" s="17" t="s">
        <v>23</v>
      </c>
      <c r="W38" s="17" t="s">
        <v>24</v>
      </c>
      <c r="Y38" s="15" t="s">
        <v>122</v>
      </c>
      <c r="Z38" s="214" t="s">
        <v>123</v>
      </c>
      <c r="AA38" s="214"/>
      <c r="AB38" s="214"/>
      <c r="AC38" s="23" t="s">
        <v>44</v>
      </c>
      <c r="AD38" s="23"/>
      <c r="AE38" s="214" t="s">
        <v>124</v>
      </c>
      <c r="AF38" s="214"/>
      <c r="AG38" s="214"/>
      <c r="AH38" s="23" t="s">
        <v>44</v>
      </c>
      <c r="AI38" s="23"/>
    </row>
    <row r="39" spans="1:35" ht="30.75" customHeight="1" thickTop="1" thickBot="1">
      <c r="A39" s="176" t="s">
        <v>125</v>
      </c>
      <c r="B39" s="215" t="s">
        <v>126</v>
      </c>
      <c r="C39" s="216"/>
      <c r="D39" s="216" t="s">
        <v>127</v>
      </c>
      <c r="E39" s="216"/>
      <c r="F39" s="216"/>
      <c r="G39" s="216" t="s">
        <v>128</v>
      </c>
      <c r="H39" s="216"/>
      <c r="I39" s="216" t="s">
        <v>129</v>
      </c>
      <c r="J39" s="216"/>
      <c r="K39" s="217"/>
      <c r="L39" s="24"/>
      <c r="M39" s="141" t="s">
        <v>130</v>
      </c>
      <c r="N39" s="218" t="s">
        <v>131</v>
      </c>
      <c r="O39" s="219"/>
      <c r="P39" s="208" t="s">
        <v>132</v>
      </c>
      <c r="Q39" s="209"/>
      <c r="R39" s="219"/>
      <c r="S39" s="208" t="s">
        <v>133</v>
      </c>
      <c r="T39" s="219"/>
      <c r="U39" s="208" t="s">
        <v>134</v>
      </c>
      <c r="V39" s="209"/>
      <c r="W39" s="210"/>
      <c r="Y39" s="146" t="s">
        <v>135</v>
      </c>
      <c r="Z39" s="211" t="s">
        <v>136</v>
      </c>
      <c r="AA39" s="212"/>
      <c r="AB39" s="212" t="s">
        <v>137</v>
      </c>
      <c r="AC39" s="212"/>
      <c r="AD39" s="212"/>
      <c r="AE39" s="212" t="s">
        <v>138</v>
      </c>
      <c r="AF39" s="212"/>
      <c r="AG39" s="212" t="s">
        <v>139</v>
      </c>
      <c r="AH39" s="212"/>
      <c r="AI39" s="213"/>
    </row>
    <row r="40" spans="1:35" ht="189" customHeight="1" thickTop="1" thickBot="1">
      <c r="A40" s="176"/>
      <c r="B40" s="204" t="s">
        <v>140</v>
      </c>
      <c r="C40" s="205"/>
      <c r="D40" s="205" t="s">
        <v>141</v>
      </c>
      <c r="E40" s="205"/>
      <c r="F40" s="205"/>
      <c r="G40" s="205" t="s">
        <v>141</v>
      </c>
      <c r="H40" s="205"/>
      <c r="I40" s="205" t="s">
        <v>141</v>
      </c>
      <c r="J40" s="205"/>
      <c r="K40" s="206"/>
      <c r="L40" s="25"/>
      <c r="M40" s="142"/>
      <c r="N40" s="207"/>
      <c r="O40" s="197"/>
      <c r="P40" s="196"/>
      <c r="Q40" s="198"/>
      <c r="R40" s="197"/>
      <c r="S40" s="196"/>
      <c r="T40" s="197"/>
      <c r="U40" s="196"/>
      <c r="V40" s="198"/>
      <c r="W40" s="199"/>
      <c r="Y40" s="146"/>
      <c r="Z40" s="200" t="str">
        <f>'Форма-отчета 22'!E214</f>
        <v>Замещение импорта, создание рабочих мест и прочие
Собственное сырья по отношению к производственной площадке, широкий ассортимент продукции. Привлечение передовой технологии</v>
      </c>
      <c r="AA40" s="201"/>
      <c r="AB40" s="202" t="str">
        <f>'Форма-отчета 22'!E215</f>
        <v>Высокая чуствительность на изменение цены продукции, необходимо целенаправленные маркетинговые меры для продвижение продукции на розничном рынке</v>
      </c>
      <c r="AC40" s="201"/>
      <c r="AD40" s="201"/>
      <c r="AE40" s="202" t="str">
        <f>'Форма-отчета 22'!E216</f>
        <v>Возможность увеличения ассортимента продукции</v>
      </c>
      <c r="AF40" s="201"/>
      <c r="AG40" s="202" t="str">
        <f>'Форма-отчета 22'!E217</f>
        <v>Высокая конкуренция, наличие аналогичной продукции низкого качества</v>
      </c>
      <c r="AH40" s="201"/>
      <c r="AI40" s="203"/>
    </row>
    <row r="41" spans="1:35" ht="38.25" customHeight="1" thickTop="1" thickBot="1">
      <c r="A41" s="176" t="s">
        <v>142</v>
      </c>
      <c r="B41" s="150" t="s">
        <v>143</v>
      </c>
      <c r="C41" s="151"/>
      <c r="D41" s="151"/>
      <c r="E41" s="151"/>
      <c r="F41" s="151"/>
      <c r="G41" s="151" t="s">
        <v>144</v>
      </c>
      <c r="H41" s="151"/>
      <c r="I41" s="151"/>
      <c r="J41" s="151"/>
      <c r="K41" s="152"/>
      <c r="L41" s="13"/>
      <c r="M41" s="26" t="s">
        <v>145</v>
      </c>
      <c r="N41" s="183">
        <f>'[38]Форма-отчета 16'!E225</f>
        <v>0.10839873986813564</v>
      </c>
      <c r="O41" s="184"/>
      <c r="P41" s="184"/>
      <c r="Q41" s="184"/>
      <c r="R41" s="184"/>
      <c r="S41" s="184"/>
      <c r="T41" s="184"/>
      <c r="U41" s="184"/>
      <c r="V41" s="184"/>
      <c r="W41" s="185"/>
      <c r="Y41" s="27" t="s">
        <v>146</v>
      </c>
      <c r="Z41" s="186">
        <f>'Форма-отчета 22'!E207</f>
        <v>0.30652290845359387</v>
      </c>
      <c r="AA41" s="186"/>
      <c r="AB41" s="186"/>
      <c r="AC41" s="186"/>
      <c r="AD41" s="186"/>
      <c r="AE41" s="186"/>
      <c r="AF41" s="186"/>
      <c r="AG41" s="186"/>
      <c r="AH41" s="186"/>
      <c r="AI41" s="186"/>
    </row>
    <row r="42" spans="1:35" ht="41.25" customHeight="1" thickTop="1" thickBot="1">
      <c r="A42" s="176"/>
      <c r="B42" s="20"/>
      <c r="C42" s="21"/>
      <c r="D42" s="21"/>
      <c r="E42" s="21"/>
      <c r="F42" s="21"/>
      <c r="G42" s="21"/>
      <c r="H42" s="21"/>
      <c r="I42" s="21"/>
      <c r="J42" s="21"/>
      <c r="K42" s="22"/>
      <c r="L42" s="13"/>
      <c r="M42" s="26" t="s">
        <v>147</v>
      </c>
      <c r="N42" s="187">
        <f>'[38]Форма-отчета 16'!E226</f>
        <v>958739.36945756758</v>
      </c>
      <c r="O42" s="188"/>
      <c r="P42" s="188"/>
      <c r="Q42" s="188"/>
      <c r="R42" s="188"/>
      <c r="S42" s="188"/>
      <c r="T42" s="188"/>
      <c r="U42" s="188"/>
      <c r="V42" s="188"/>
      <c r="W42" s="189"/>
      <c r="Y42" s="27" t="s">
        <v>148</v>
      </c>
      <c r="Z42" s="190">
        <f>'Форма-отчета 22'!E208</f>
        <v>13160447.434307046</v>
      </c>
      <c r="AA42" s="191"/>
      <c r="AB42" s="191"/>
      <c r="AC42" s="191"/>
      <c r="AD42" s="191"/>
      <c r="AE42" s="191"/>
      <c r="AF42" s="191"/>
      <c r="AG42" s="191"/>
      <c r="AH42" s="191"/>
      <c r="AI42" s="191"/>
    </row>
    <row r="43" spans="1:35" ht="42" customHeight="1" thickTop="1" thickBot="1">
      <c r="A43" s="176"/>
      <c r="B43" s="20"/>
      <c r="C43" s="21"/>
      <c r="D43" s="21"/>
      <c r="E43" s="21"/>
      <c r="F43" s="21"/>
      <c r="G43" s="21"/>
      <c r="H43" s="21"/>
      <c r="I43" s="21"/>
      <c r="J43" s="21"/>
      <c r="K43" s="22"/>
      <c r="L43" s="13"/>
      <c r="M43" s="26" t="s">
        <v>149</v>
      </c>
      <c r="N43" s="192">
        <f>'[38]Форма-отчета 16'!E227</f>
        <v>1.2552798753725618</v>
      </c>
      <c r="O43" s="193"/>
      <c r="P43" s="193"/>
      <c r="Q43" s="193"/>
      <c r="R43" s="193"/>
      <c r="S43" s="193"/>
      <c r="T43" s="193"/>
      <c r="U43" s="193"/>
      <c r="V43" s="193"/>
      <c r="W43" s="194"/>
      <c r="Y43" s="27" t="s">
        <v>150</v>
      </c>
      <c r="Z43" s="195">
        <f>'Форма-отчета 22'!E209</f>
        <v>2.7483505164567648</v>
      </c>
      <c r="AA43" s="191"/>
      <c r="AB43" s="191"/>
      <c r="AC43" s="191"/>
      <c r="AD43" s="191"/>
      <c r="AE43" s="191"/>
      <c r="AF43" s="191"/>
      <c r="AG43" s="191"/>
      <c r="AH43" s="191"/>
      <c r="AI43" s="191"/>
    </row>
    <row r="44" spans="1:35" ht="42.75" customHeight="1" thickTop="1" thickBot="1">
      <c r="A44" s="176" t="s">
        <v>151</v>
      </c>
      <c r="B44" s="150" t="s">
        <v>152</v>
      </c>
      <c r="C44" s="151"/>
      <c r="D44" s="151"/>
      <c r="E44" s="151" t="s">
        <v>20</v>
      </c>
      <c r="F44" s="151"/>
      <c r="G44" s="151"/>
      <c r="H44" s="151" t="s">
        <v>21</v>
      </c>
      <c r="I44" s="151"/>
      <c r="J44" s="151"/>
      <c r="K44" s="152"/>
      <c r="L44" s="13"/>
      <c r="M44" s="177" t="s">
        <v>153</v>
      </c>
      <c r="N44" s="180" t="s">
        <v>154</v>
      </c>
      <c r="O44" s="181"/>
      <c r="P44" s="182"/>
      <c r="Q44" s="161">
        <f>'[38]Форма-отчета 16'!E216</f>
        <v>1080875</v>
      </c>
      <c r="R44" s="162"/>
      <c r="S44" s="162"/>
      <c r="T44" s="162"/>
      <c r="U44" s="162"/>
      <c r="V44" s="162"/>
      <c r="W44" s="163"/>
      <c r="Y44" s="146" t="s">
        <v>155</v>
      </c>
      <c r="Z44" s="164" t="str">
        <f>'[38]Форма-отчета 16'!D216</f>
        <v>Вклад местного инвестора (инициатора), $</v>
      </c>
      <c r="AA44" s="165"/>
      <c r="AB44" s="165"/>
      <c r="AC44" s="166">
        <f>'Форма-отчета 22'!E181</f>
        <v>2382100.4648113577</v>
      </c>
      <c r="AD44" s="167"/>
      <c r="AE44" s="167"/>
      <c r="AF44" s="167"/>
      <c r="AG44" s="167"/>
      <c r="AH44" s="167"/>
      <c r="AI44" s="168"/>
    </row>
    <row r="45" spans="1:35" ht="38.25" customHeight="1" thickTop="1" thickBot="1">
      <c r="A45" s="176"/>
      <c r="B45" s="150" t="s">
        <v>156</v>
      </c>
      <c r="C45" s="151"/>
      <c r="D45" s="151"/>
      <c r="E45" s="151" t="s">
        <v>20</v>
      </c>
      <c r="F45" s="151"/>
      <c r="G45" s="151"/>
      <c r="H45" s="151" t="s">
        <v>21</v>
      </c>
      <c r="I45" s="151"/>
      <c r="J45" s="151"/>
      <c r="K45" s="152"/>
      <c r="L45" s="13"/>
      <c r="M45" s="178"/>
      <c r="N45" s="169" t="s">
        <v>157</v>
      </c>
      <c r="O45" s="170"/>
      <c r="P45" s="171"/>
      <c r="Q45" s="172">
        <f>'[38]Форма-отчета 16'!E217</f>
        <v>2183014</v>
      </c>
      <c r="R45" s="173"/>
      <c r="S45" s="173"/>
      <c r="T45" s="173"/>
      <c r="U45" s="173"/>
      <c r="V45" s="173"/>
      <c r="W45" s="174"/>
      <c r="Y45" s="146"/>
      <c r="Z45" s="175" t="str">
        <f>'[38]Форма-отчета 16'!D217</f>
        <v>Вклад иностранного инвестора, $</v>
      </c>
      <c r="AA45" s="160"/>
      <c r="AB45" s="160"/>
      <c r="AC45" s="147">
        <f>'Форма-отчета 22'!E182</f>
        <v>4983222.2606997862</v>
      </c>
      <c r="AD45" s="148"/>
      <c r="AE45" s="148"/>
      <c r="AF45" s="148"/>
      <c r="AG45" s="148"/>
      <c r="AH45" s="148"/>
      <c r="AI45" s="149"/>
    </row>
    <row r="46" spans="1:35" ht="31.5" customHeight="1" thickTop="1" thickBot="1">
      <c r="A46" s="176"/>
      <c r="B46" s="150" t="s">
        <v>158</v>
      </c>
      <c r="C46" s="151"/>
      <c r="D46" s="151"/>
      <c r="E46" s="151" t="s">
        <v>20</v>
      </c>
      <c r="F46" s="151"/>
      <c r="G46" s="151"/>
      <c r="H46" s="151" t="s">
        <v>21</v>
      </c>
      <c r="I46" s="151"/>
      <c r="J46" s="151"/>
      <c r="K46" s="152"/>
      <c r="L46" s="13"/>
      <c r="M46" s="179"/>
      <c r="N46" s="153" t="s">
        <v>159</v>
      </c>
      <c r="O46" s="154"/>
      <c r="P46" s="155"/>
      <c r="Q46" s="156">
        <f>'[38]Форма-отчета 16'!E218</f>
        <v>0</v>
      </c>
      <c r="R46" s="157"/>
      <c r="S46" s="157"/>
      <c r="T46" s="157"/>
      <c r="U46" s="157"/>
      <c r="V46" s="157"/>
      <c r="W46" s="158"/>
      <c r="Y46" s="146"/>
      <c r="Z46" s="159" t="s">
        <v>160</v>
      </c>
      <c r="AA46" s="160"/>
      <c r="AB46" s="160"/>
      <c r="AC46" s="147">
        <f>'Форма-отчета 22'!E183</f>
        <v>0</v>
      </c>
      <c r="AD46" s="148"/>
      <c r="AE46" s="148"/>
      <c r="AF46" s="148"/>
      <c r="AG46" s="148"/>
      <c r="AH46" s="148"/>
      <c r="AI46" s="149"/>
    </row>
    <row r="47" spans="1:35" ht="39" customHeight="1" thickTop="1" thickBot="1">
      <c r="A47" s="16"/>
      <c r="B47" s="20"/>
      <c r="C47" s="21"/>
      <c r="D47" s="21"/>
      <c r="E47" s="21"/>
      <c r="F47" s="21"/>
      <c r="G47" s="21"/>
      <c r="H47" s="21"/>
      <c r="I47" s="21"/>
      <c r="J47" s="21"/>
      <c r="K47" s="22"/>
      <c r="L47" s="13"/>
      <c r="M47" s="141" t="s">
        <v>161</v>
      </c>
      <c r="N47" s="143" t="s">
        <v>162</v>
      </c>
      <c r="O47" s="144"/>
      <c r="P47" s="145"/>
      <c r="Q47" s="143" t="s">
        <v>163</v>
      </c>
      <c r="R47" s="144"/>
      <c r="S47" s="145"/>
      <c r="T47" s="143" t="s">
        <v>164</v>
      </c>
      <c r="U47" s="144"/>
      <c r="V47" s="144"/>
      <c r="W47" s="145"/>
      <c r="Y47" s="146" t="s">
        <v>165</v>
      </c>
      <c r="Z47" s="125" t="s">
        <v>166</v>
      </c>
      <c r="AA47" s="126"/>
      <c r="AB47" s="127"/>
      <c r="AC47" s="125" t="s">
        <v>167</v>
      </c>
      <c r="AD47" s="126"/>
      <c r="AE47" s="127"/>
      <c r="AF47" s="128" t="s">
        <v>168</v>
      </c>
      <c r="AG47" s="126"/>
      <c r="AH47" s="126"/>
      <c r="AI47" s="127"/>
    </row>
    <row r="48" spans="1:35" ht="51" customHeight="1" thickTop="1" thickBot="1">
      <c r="A48" s="16"/>
      <c r="B48" s="20"/>
      <c r="C48" s="21"/>
      <c r="D48" s="21"/>
      <c r="E48" s="21"/>
      <c r="F48" s="21"/>
      <c r="G48" s="21"/>
      <c r="H48" s="21"/>
      <c r="I48" s="21"/>
      <c r="J48" s="21"/>
      <c r="K48" s="22"/>
      <c r="L48" s="13"/>
      <c r="M48" s="142"/>
      <c r="N48" s="28" t="s">
        <v>169</v>
      </c>
      <c r="O48" s="129" t="s">
        <v>170</v>
      </c>
      <c r="P48" s="130"/>
      <c r="Q48" s="28" t="s">
        <v>169</v>
      </c>
      <c r="R48" s="129" t="s">
        <v>171</v>
      </c>
      <c r="S48" s="130"/>
      <c r="T48" s="28" t="s">
        <v>169</v>
      </c>
      <c r="U48" s="131" t="s">
        <v>172</v>
      </c>
      <c r="V48" s="132"/>
      <c r="W48" s="133"/>
      <c r="Y48" s="146"/>
      <c r="Z48" s="29"/>
      <c r="AA48" s="134" t="s">
        <v>173</v>
      </c>
      <c r="AB48" s="135"/>
      <c r="AC48" s="29" t="s">
        <v>174</v>
      </c>
      <c r="AD48" s="136" t="s">
        <v>171</v>
      </c>
      <c r="AE48" s="137"/>
      <c r="AF48" s="138" t="s">
        <v>172</v>
      </c>
      <c r="AG48" s="139"/>
      <c r="AH48" s="139"/>
      <c r="AI48" s="140"/>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R10"/>
    <mergeCell ref="S10:U10"/>
    <mergeCell ref="Z10:AI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R23"/>
    <mergeCell ref="S23:W23"/>
    <mergeCell ref="B21:K21"/>
    <mergeCell ref="M21:M22"/>
    <mergeCell ref="N21:P21"/>
    <mergeCell ref="Q21:S21"/>
    <mergeCell ref="T21:W21"/>
    <mergeCell ref="Y23:Y24"/>
    <mergeCell ref="Z23:AI23"/>
    <mergeCell ref="B24:K24"/>
    <mergeCell ref="N24:R24"/>
    <mergeCell ref="S24:W24"/>
    <mergeCell ref="Z24:AI24"/>
    <mergeCell ref="Z21:AI21"/>
    <mergeCell ref="N22:P22"/>
    <mergeCell ref="Q22:W22"/>
    <mergeCell ref="Z22:AI22"/>
    <mergeCell ref="Y21:Y22"/>
    <mergeCell ref="A25:A30"/>
    <mergeCell ref="B25:D26"/>
    <mergeCell ref="E25:G25"/>
    <mergeCell ref="H25:K25"/>
    <mergeCell ref="M25:M30"/>
    <mergeCell ref="N25:P26"/>
    <mergeCell ref="B27:D28"/>
    <mergeCell ref="E27:G27"/>
    <mergeCell ref="H27:K27"/>
    <mergeCell ref="N27:P28"/>
    <mergeCell ref="Q25:S25"/>
    <mergeCell ref="T25:W25"/>
    <mergeCell ref="Y25:Y30"/>
    <mergeCell ref="Z25:AB26"/>
    <mergeCell ref="AC25:AI25"/>
    <mergeCell ref="E26:G26"/>
    <mergeCell ref="H26:K26"/>
    <mergeCell ref="Q26:S26"/>
    <mergeCell ref="T26:W26"/>
    <mergeCell ref="AC26:AI26"/>
    <mergeCell ref="Q27:S27"/>
    <mergeCell ref="T27:W27"/>
    <mergeCell ref="Z27:AB28"/>
    <mergeCell ref="AC27:AI27"/>
    <mergeCell ref="E28:G28"/>
    <mergeCell ref="H28:K28"/>
    <mergeCell ref="Q28:S28"/>
    <mergeCell ref="T28:W28"/>
    <mergeCell ref="AC28:AI28"/>
    <mergeCell ref="Z29:AB30"/>
    <mergeCell ref="AC29:AI29"/>
    <mergeCell ref="E30:G30"/>
    <mergeCell ref="H30:K30"/>
    <mergeCell ref="Q30:S30"/>
    <mergeCell ref="T30:W30"/>
    <mergeCell ref="AC30:AI30"/>
    <mergeCell ref="B29:D30"/>
    <mergeCell ref="E29:G29"/>
    <mergeCell ref="H29:K29"/>
    <mergeCell ref="N29:P30"/>
    <mergeCell ref="Q29:S29"/>
    <mergeCell ref="T29:W29"/>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s>
  <printOptions horizontalCentered="1" verticalCentered="1"/>
  <pageMargins left="0.31496062992125984" right="0.11811023622047245" top="0.19685039370078741" bottom="0.19685039370078741" header="0.11811023622047245" footer="0.11811023622047245"/>
  <pageSetup paperSize="9" scale="4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0829A-D5E3-4A2A-863B-11309448A902}">
  <sheetPr>
    <pageSetUpPr fitToPage="1"/>
  </sheetPr>
  <dimension ref="A3:AJ49"/>
  <sheetViews>
    <sheetView tabSelected="1" topLeftCell="L1" zoomScale="73" zoomScaleNormal="73" workbookViewId="0">
      <selection activeCell="AB40" sqref="AB40:AD40"/>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customWidth="1" collapsed="1"/>
    <col min="13" max="13" width="46.85546875" style="1" customWidth="1"/>
    <col min="14" max="14" width="17.5703125" style="1" customWidth="1"/>
    <col min="15" max="16" width="11.5703125" style="1"/>
    <col min="17" max="17" width="20.5703125" style="1" customWidth="1"/>
    <col min="18" max="18" width="12.28515625" style="1" customWidth="1"/>
    <col min="19" max="19" width="13.42578125" style="1" customWidth="1"/>
    <col min="20" max="20" width="18.42578125" style="1" customWidth="1"/>
    <col min="21" max="21" width="11.85546875" style="1" customWidth="1"/>
    <col min="22" max="22" width="11.28515625" style="1" customWidth="1"/>
    <col min="23" max="23" width="13.5703125" style="1" customWidth="1"/>
    <col min="24" max="24" width="11.5703125" style="1"/>
    <col min="25" max="25" width="30.85546875" style="1" hidden="1" customWidth="1" outlineLevel="1"/>
    <col min="26" max="26" width="14.7109375" style="1" hidden="1" customWidth="1" outlineLevel="1"/>
    <col min="27" max="28" width="0" style="1" hidden="1" customWidth="1" outlineLevel="1"/>
    <col min="29" max="29" width="15.7109375" style="1" hidden="1" customWidth="1" outlineLevel="1"/>
    <col min="30" max="30" width="13.28515625" style="1" hidden="1" customWidth="1" outlineLevel="1"/>
    <col min="31" max="31" width="17" style="1" hidden="1" customWidth="1" outlineLevel="1"/>
    <col min="32" max="32" width="14.5703125" style="1" hidden="1" customWidth="1" outlineLevel="1"/>
    <col min="33" max="33" width="13.5703125" style="1" hidden="1" customWidth="1" outlineLevel="1"/>
    <col min="34" max="34" width="11.28515625" style="1" hidden="1" customWidth="1" outlineLevel="1"/>
    <col min="35" max="35" width="11.140625" style="1" hidden="1" customWidth="1" outlineLevel="1"/>
    <col min="36" max="36" width="11.5703125" style="1" collapsed="1"/>
    <col min="37" max="16384" width="11.5703125" style="1"/>
  </cols>
  <sheetData>
    <row r="3" spans="1:35">
      <c r="J3" s="1" t="s">
        <v>0</v>
      </c>
      <c r="K3" s="1" t="s">
        <v>1</v>
      </c>
      <c r="V3" s="2" t="s">
        <v>2</v>
      </c>
      <c r="W3" s="2" t="s">
        <v>3</v>
      </c>
      <c r="AH3" s="30" t="s">
        <v>4</v>
      </c>
      <c r="AI3" s="30" t="s">
        <v>5</v>
      </c>
    </row>
    <row r="4" spans="1:35" ht="18">
      <c r="E4" s="5" t="s">
        <v>6</v>
      </c>
      <c r="F4" s="6"/>
      <c r="G4" s="6"/>
      <c r="J4" s="1" t="s">
        <v>7</v>
      </c>
      <c r="K4" s="7">
        <v>44053</v>
      </c>
      <c r="L4" s="7"/>
      <c r="P4" s="5" t="s">
        <v>6</v>
      </c>
      <c r="Q4" s="6"/>
      <c r="R4" s="6"/>
      <c r="V4" s="31" t="s">
        <v>7</v>
      </c>
      <c r="W4" s="32">
        <f>ПаспортРУС!AI4</f>
        <v>44180</v>
      </c>
      <c r="AB4" s="5" t="s">
        <v>8</v>
      </c>
      <c r="AC4" s="6"/>
      <c r="AD4" s="6"/>
      <c r="AH4" s="1" t="s">
        <v>9</v>
      </c>
      <c r="AI4" s="7">
        <v>44053</v>
      </c>
    </row>
    <row r="5" spans="1:35" ht="18">
      <c r="E5" s="5"/>
      <c r="F5" s="6"/>
      <c r="G5" s="6"/>
      <c r="P5" s="5"/>
      <c r="Q5" s="6"/>
      <c r="R5" s="6"/>
      <c r="AB5" s="5"/>
      <c r="AC5" s="6"/>
      <c r="AD5" s="6"/>
    </row>
    <row r="6" spans="1:35" ht="30">
      <c r="A6" s="294" t="s">
        <v>10</v>
      </c>
      <c r="B6" s="294"/>
      <c r="C6" s="294"/>
      <c r="D6" s="294"/>
      <c r="E6" s="294"/>
      <c r="F6" s="294"/>
      <c r="G6" s="294"/>
      <c r="H6" s="294"/>
      <c r="I6" s="294"/>
      <c r="J6" s="294"/>
      <c r="K6" s="294"/>
      <c r="L6" s="11"/>
      <c r="M6" s="402" t="s">
        <v>10</v>
      </c>
      <c r="N6" s="402"/>
      <c r="O6" s="402"/>
      <c r="P6" s="402"/>
      <c r="Q6" s="402"/>
      <c r="R6" s="402"/>
      <c r="S6" s="402"/>
      <c r="T6" s="402"/>
      <c r="U6" s="402"/>
      <c r="V6" s="402"/>
      <c r="W6" s="402"/>
      <c r="Y6" s="403" t="s">
        <v>11</v>
      </c>
      <c r="Z6" s="403"/>
      <c r="AA6" s="403"/>
      <c r="AB6" s="403"/>
      <c r="AC6" s="403"/>
      <c r="AD6" s="403"/>
      <c r="AE6" s="403"/>
      <c r="AF6" s="403"/>
      <c r="AG6" s="403"/>
      <c r="AH6" s="403"/>
      <c r="AI6" s="403"/>
    </row>
    <row r="7" spans="1:35" ht="30.75" thickBot="1">
      <c r="A7" s="294" t="str">
        <f>'[38]БП-Анг'!D3</f>
        <v>Production of orthopedic mattresses</v>
      </c>
      <c r="B7" s="294"/>
      <c r="C7" s="294"/>
      <c r="D7" s="294"/>
      <c r="E7" s="294"/>
      <c r="F7" s="294"/>
      <c r="G7" s="294"/>
      <c r="H7" s="294"/>
      <c r="I7" s="294"/>
      <c r="J7" s="294"/>
      <c r="K7" s="294"/>
      <c r="L7" s="11"/>
      <c r="M7" s="404" t="str">
        <f>'БП-Eng'!D3</f>
        <v>Production of soy protein, soy asparagus, soy curd and soy milk in assortment</v>
      </c>
      <c r="N7" s="404"/>
      <c r="O7" s="404"/>
      <c r="P7" s="404"/>
      <c r="Q7" s="404"/>
      <c r="R7" s="404"/>
      <c r="S7" s="404"/>
      <c r="T7" s="404"/>
      <c r="U7" s="404"/>
      <c r="V7" s="404"/>
      <c r="W7" s="404"/>
      <c r="Y7" s="294" t="str">
        <f>'[38]Форма-отчета 16'!D3</f>
        <v>Производство ортопедических матрасов</v>
      </c>
      <c r="Z7" s="294"/>
      <c r="AA7" s="294"/>
      <c r="AB7" s="294"/>
      <c r="AC7" s="294"/>
      <c r="AD7" s="294"/>
      <c r="AE7" s="294"/>
      <c r="AF7" s="294"/>
      <c r="AG7" s="294"/>
      <c r="AH7" s="294"/>
      <c r="AI7" s="294"/>
    </row>
    <row r="8" spans="1:35" ht="40.5" customHeight="1" thickTop="1" thickBot="1">
      <c r="A8" s="12" t="s">
        <v>12</v>
      </c>
      <c r="B8" s="291" t="s">
        <v>13</v>
      </c>
      <c r="C8" s="292"/>
      <c r="D8" s="292"/>
      <c r="E8" s="292"/>
      <c r="F8" s="292"/>
      <c r="G8" s="292"/>
      <c r="H8" s="292"/>
      <c r="I8" s="292"/>
      <c r="J8" s="292"/>
      <c r="K8" s="293"/>
      <c r="L8" s="13"/>
      <c r="M8" s="33" t="s">
        <v>12</v>
      </c>
      <c r="N8" s="340" t="str">
        <f>'БП-Eng'!E5</f>
        <v>Production of soy protein, soy asparagus, soy curd and soy milk in assortment</v>
      </c>
      <c r="O8" s="340"/>
      <c r="P8" s="340"/>
      <c r="Q8" s="340"/>
      <c r="R8" s="340"/>
      <c r="S8" s="340"/>
      <c r="T8" s="340"/>
      <c r="U8" s="340"/>
      <c r="V8" s="340"/>
      <c r="W8" s="340"/>
      <c r="Y8" s="14" t="s">
        <v>14</v>
      </c>
      <c r="Z8" s="342" t="str">
        <f>'[38]Форма-отчета 16'!E5</f>
        <v>Создание собственного производства ортопедических матрасов в широком ассортименте в целях импортозамещения и экспорта продукции</v>
      </c>
      <c r="AA8" s="342"/>
      <c r="AB8" s="342"/>
      <c r="AC8" s="342"/>
      <c r="AD8" s="342"/>
      <c r="AE8" s="342"/>
      <c r="AF8" s="342"/>
      <c r="AG8" s="342"/>
      <c r="AH8" s="342"/>
      <c r="AI8" s="342"/>
    </row>
    <row r="9" spans="1:35" ht="43.5" customHeight="1" thickTop="1" thickBot="1">
      <c r="A9" s="16" t="s">
        <v>15</v>
      </c>
      <c r="B9" s="150" t="s">
        <v>16</v>
      </c>
      <c r="C9" s="151"/>
      <c r="D9" s="151"/>
      <c r="E9" s="151"/>
      <c r="F9" s="151"/>
      <c r="G9" s="151"/>
      <c r="H9" s="151"/>
      <c r="I9" s="151"/>
      <c r="J9" s="151"/>
      <c r="K9" s="152"/>
      <c r="L9" s="13"/>
      <c r="M9" s="33" t="s">
        <v>15</v>
      </c>
      <c r="N9" s="340" t="str">
        <f>'БП-Eng'!E32</f>
        <v>Food processing industry</v>
      </c>
      <c r="O9" s="340"/>
      <c r="P9" s="340"/>
      <c r="Q9" s="340"/>
      <c r="R9" s="340"/>
      <c r="S9" s="340"/>
      <c r="T9" s="340"/>
      <c r="U9" s="340"/>
      <c r="V9" s="340"/>
      <c r="W9" s="340"/>
      <c r="Y9" s="14" t="s">
        <v>17</v>
      </c>
      <c r="Z9" s="342" t="str">
        <f>'[38]Форма-отчета 16'!E6</f>
        <v>Легкая промышленность</v>
      </c>
      <c r="AA9" s="342"/>
      <c r="AB9" s="342"/>
      <c r="AC9" s="342"/>
      <c r="AD9" s="342"/>
      <c r="AE9" s="342"/>
      <c r="AF9" s="342"/>
      <c r="AG9" s="342"/>
      <c r="AH9" s="342"/>
      <c r="AI9" s="342"/>
    </row>
    <row r="10" spans="1:35" ht="34.5" customHeight="1" thickTop="1" thickBot="1">
      <c r="A10" s="16" t="s">
        <v>18</v>
      </c>
      <c r="B10" s="150" t="s">
        <v>19</v>
      </c>
      <c r="C10" s="151"/>
      <c r="D10" s="151"/>
      <c r="E10" s="151" t="s">
        <v>20</v>
      </c>
      <c r="F10" s="151"/>
      <c r="G10" s="151"/>
      <c r="H10" s="151" t="s">
        <v>21</v>
      </c>
      <c r="I10" s="151"/>
      <c r="J10" s="151"/>
      <c r="K10" s="152"/>
      <c r="L10" s="13"/>
      <c r="M10" s="33" t="s">
        <v>18</v>
      </c>
      <c r="N10" s="399" t="s">
        <v>175</v>
      </c>
      <c r="O10" s="400"/>
      <c r="P10" s="400"/>
      <c r="Q10" s="400"/>
      <c r="R10" s="400"/>
      <c r="S10" s="400"/>
      <c r="T10" s="400"/>
      <c r="U10" s="400"/>
      <c r="V10" s="400"/>
      <c r="W10" s="401"/>
      <c r="Y10" s="14" t="s">
        <v>25</v>
      </c>
      <c r="Z10" s="342" t="str">
        <f>'[38]Форма-отчета 16'!E10</f>
        <v>СЭЗ "Термез", Сурхандарьинская область</v>
      </c>
      <c r="AA10" s="342"/>
      <c r="AB10" s="342"/>
      <c r="AC10" s="342"/>
      <c r="AD10" s="342"/>
      <c r="AE10" s="342" t="s">
        <v>176</v>
      </c>
      <c r="AF10" s="342"/>
      <c r="AG10" s="342"/>
      <c r="AH10" s="17" t="s">
        <v>44</v>
      </c>
      <c r="AI10" s="17" t="s">
        <v>47</v>
      </c>
    </row>
    <row r="11" spans="1:35" ht="36" customHeight="1" thickTop="1" thickBot="1">
      <c r="A11" s="16" t="s">
        <v>26</v>
      </c>
      <c r="B11" s="150"/>
      <c r="C11" s="151"/>
      <c r="D11" s="151"/>
      <c r="E11" s="151"/>
      <c r="F11" s="151"/>
      <c r="G11" s="151"/>
      <c r="H11" s="151"/>
      <c r="I11" s="151"/>
      <c r="J11" s="151"/>
      <c r="K11" s="152"/>
      <c r="L11" s="13"/>
      <c r="M11" s="33" t="s">
        <v>26</v>
      </c>
      <c r="N11" s="34" t="s">
        <v>177</v>
      </c>
      <c r="O11" s="396">
        <f>ПаспортРУС!AA11</f>
        <v>5470.4</v>
      </c>
      <c r="P11" s="397"/>
      <c r="Q11" s="397"/>
      <c r="R11" s="397"/>
      <c r="S11" s="397"/>
      <c r="T11" s="397"/>
      <c r="U11" s="397"/>
      <c r="V11" s="397"/>
      <c r="W11" s="398"/>
      <c r="Y11" s="14" t="s">
        <v>28</v>
      </c>
      <c r="Z11" s="18" t="s">
        <v>178</v>
      </c>
      <c r="AA11" s="187">
        <f>'[38]Форма-отчета 16'!E37+'[38]Форма-отчета 16'!I37+'[38]Форма-отчета 16'!L37</f>
        <v>64800</v>
      </c>
      <c r="AB11" s="188"/>
      <c r="AC11" s="188"/>
      <c r="AD11" s="188"/>
      <c r="AE11" s="188"/>
      <c r="AF11" s="188"/>
      <c r="AG11" s="188"/>
      <c r="AH11" s="188"/>
      <c r="AI11" s="189"/>
    </row>
    <row r="12" spans="1:35" ht="28.5" customHeight="1" thickTop="1" thickBot="1">
      <c r="A12" s="16" t="s">
        <v>30</v>
      </c>
      <c r="B12" s="150" t="s">
        <v>31</v>
      </c>
      <c r="C12" s="151"/>
      <c r="D12" s="151"/>
      <c r="E12" s="151"/>
      <c r="F12" s="151"/>
      <c r="G12" s="151"/>
      <c r="H12" s="151"/>
      <c r="I12" s="151"/>
      <c r="J12" s="151"/>
      <c r="K12" s="152"/>
      <c r="L12" s="13"/>
      <c r="M12" s="33" t="s">
        <v>30</v>
      </c>
      <c r="N12" s="34" t="s">
        <v>32</v>
      </c>
      <c r="O12" s="396">
        <f>ПаспортРУС!AA12</f>
        <v>7365322.7255111439</v>
      </c>
      <c r="P12" s="397"/>
      <c r="Q12" s="397"/>
      <c r="R12" s="397"/>
      <c r="S12" s="397"/>
      <c r="T12" s="397"/>
      <c r="U12" s="397"/>
      <c r="V12" s="397"/>
      <c r="W12" s="398"/>
      <c r="Y12" s="14" t="s">
        <v>33</v>
      </c>
      <c r="Z12" s="18" t="s">
        <v>32</v>
      </c>
      <c r="AA12" s="187">
        <f>'[38]Форма-отчета 16'!E215</f>
        <v>3263889</v>
      </c>
      <c r="AB12" s="188"/>
      <c r="AC12" s="188"/>
      <c r="AD12" s="188"/>
      <c r="AE12" s="188"/>
      <c r="AF12" s="188"/>
      <c r="AG12" s="188"/>
      <c r="AH12" s="188"/>
      <c r="AI12" s="189"/>
    </row>
    <row r="13" spans="1:35" ht="36" customHeight="1" thickTop="1" thickBot="1">
      <c r="A13" s="16" t="s">
        <v>34</v>
      </c>
      <c r="B13" s="150" t="s">
        <v>35</v>
      </c>
      <c r="C13" s="151"/>
      <c r="D13" s="151"/>
      <c r="E13" s="151"/>
      <c r="F13" s="151"/>
      <c r="G13" s="151"/>
      <c r="H13" s="151"/>
      <c r="I13" s="151"/>
      <c r="J13" s="151"/>
      <c r="K13" s="152"/>
      <c r="L13" s="13"/>
      <c r="M13" s="33" t="s">
        <v>34</v>
      </c>
      <c r="N13" s="34" t="s">
        <v>36</v>
      </c>
      <c r="O13" s="396">
        <f>ПаспортРУС!AA13</f>
        <v>46.719602563436339</v>
      </c>
      <c r="P13" s="397"/>
      <c r="Q13" s="397"/>
      <c r="R13" s="397"/>
      <c r="S13" s="397"/>
      <c r="T13" s="397"/>
      <c r="U13" s="397"/>
      <c r="V13" s="397"/>
      <c r="W13" s="398"/>
      <c r="Y13" s="14" t="s">
        <v>37</v>
      </c>
      <c r="Z13" s="18" t="s">
        <v>38</v>
      </c>
      <c r="AA13" s="187">
        <f>'[38]Форма-отчета 16'!E224</f>
        <v>70.68500707069515</v>
      </c>
      <c r="AB13" s="188"/>
      <c r="AC13" s="188"/>
      <c r="AD13" s="188"/>
      <c r="AE13" s="188"/>
      <c r="AF13" s="188"/>
      <c r="AG13" s="188"/>
      <c r="AH13" s="188"/>
      <c r="AI13" s="189"/>
    </row>
    <row r="14" spans="1:35" ht="26.25" customHeight="1" thickTop="1" thickBot="1">
      <c r="A14" s="285" t="s">
        <v>39</v>
      </c>
      <c r="B14" s="150" t="s">
        <v>40</v>
      </c>
      <c r="C14" s="151"/>
      <c r="D14" s="151"/>
      <c r="E14" s="151"/>
      <c r="F14" s="151"/>
      <c r="G14" s="151"/>
      <c r="H14" s="151"/>
      <c r="I14" s="151"/>
      <c r="J14" s="151"/>
      <c r="K14" s="152"/>
      <c r="L14" s="13"/>
      <c r="M14" s="311" t="s">
        <v>39</v>
      </c>
      <c r="N14" s="335" t="s">
        <v>41</v>
      </c>
      <c r="O14" s="336"/>
      <c r="P14" s="336"/>
      <c r="Q14" s="374" t="s">
        <v>23</v>
      </c>
      <c r="R14" s="374"/>
      <c r="S14" s="374"/>
      <c r="T14" s="374"/>
      <c r="U14" s="374"/>
      <c r="V14" s="374"/>
      <c r="W14" s="375"/>
      <c r="Y14" s="315" t="s">
        <v>42</v>
      </c>
      <c r="Z14" s="329" t="s">
        <v>43</v>
      </c>
      <c r="AA14" s="330"/>
      <c r="AB14" s="330"/>
      <c r="AC14" s="370" t="s">
        <v>44</v>
      </c>
      <c r="AD14" s="370"/>
      <c r="AE14" s="370"/>
      <c r="AF14" s="370" t="s">
        <v>47</v>
      </c>
      <c r="AG14" s="370"/>
      <c r="AH14" s="370"/>
      <c r="AI14" s="371"/>
    </row>
    <row r="15" spans="1:35" ht="24.75" customHeight="1" thickTop="1" thickBot="1">
      <c r="A15" s="286"/>
      <c r="B15" s="20"/>
      <c r="C15" s="21"/>
      <c r="D15" s="21"/>
      <c r="E15" s="21"/>
      <c r="F15" s="21"/>
      <c r="G15" s="21"/>
      <c r="H15" s="21"/>
      <c r="I15" s="21"/>
      <c r="J15" s="21"/>
      <c r="K15" s="22"/>
      <c r="L15" s="13"/>
      <c r="M15" s="311"/>
      <c r="N15" s="319" t="s">
        <v>45</v>
      </c>
      <c r="O15" s="320"/>
      <c r="P15" s="320"/>
      <c r="Q15" s="372"/>
      <c r="R15" s="372"/>
      <c r="S15" s="372"/>
      <c r="T15" s="372" t="s">
        <v>24</v>
      </c>
      <c r="U15" s="372"/>
      <c r="V15" s="372"/>
      <c r="W15" s="373"/>
      <c r="Y15" s="315"/>
      <c r="Z15" s="324" t="s">
        <v>46</v>
      </c>
      <c r="AA15" s="151"/>
      <c r="AB15" s="151"/>
      <c r="AC15" s="361" t="s">
        <v>44</v>
      </c>
      <c r="AD15" s="361"/>
      <c r="AE15" s="361"/>
      <c r="AF15" s="361" t="s">
        <v>47</v>
      </c>
      <c r="AG15" s="361"/>
      <c r="AH15" s="361"/>
      <c r="AI15" s="362"/>
    </row>
    <row r="16" spans="1:35" ht="26.25" customHeight="1" thickTop="1" thickBot="1">
      <c r="A16" s="287"/>
      <c r="B16" s="20"/>
      <c r="C16" s="21"/>
      <c r="D16" s="21"/>
      <c r="E16" s="21"/>
      <c r="F16" s="21"/>
      <c r="G16" s="21"/>
      <c r="H16" s="21"/>
      <c r="I16" s="21"/>
      <c r="J16" s="21"/>
      <c r="K16" s="22"/>
      <c r="L16" s="13"/>
      <c r="M16" s="311"/>
      <c r="N16" s="363" t="s">
        <v>48</v>
      </c>
      <c r="O16" s="364"/>
      <c r="P16" s="364"/>
      <c r="Q16" s="365"/>
      <c r="R16" s="365"/>
      <c r="S16" s="365"/>
      <c r="T16" s="365" t="s">
        <v>24</v>
      </c>
      <c r="U16" s="365"/>
      <c r="V16" s="365"/>
      <c r="W16" s="366"/>
      <c r="Y16" s="315"/>
      <c r="Z16" s="367" t="s">
        <v>49</v>
      </c>
      <c r="AA16" s="349"/>
      <c r="AB16" s="349"/>
      <c r="AC16" s="368" t="s">
        <v>44</v>
      </c>
      <c r="AD16" s="368"/>
      <c r="AE16" s="368"/>
      <c r="AF16" s="368" t="s">
        <v>47</v>
      </c>
      <c r="AG16" s="368"/>
      <c r="AH16" s="368"/>
      <c r="AI16" s="369"/>
    </row>
    <row r="17" spans="1:35" ht="39.75" customHeight="1" thickTop="1" thickBot="1">
      <c r="A17" s="16" t="s">
        <v>50</v>
      </c>
      <c r="B17" s="150" t="s">
        <v>51</v>
      </c>
      <c r="C17" s="151"/>
      <c r="D17" s="151"/>
      <c r="E17" s="151"/>
      <c r="F17" s="151"/>
      <c r="G17" s="151"/>
      <c r="H17" s="151"/>
      <c r="I17" s="151"/>
      <c r="J17" s="151"/>
      <c r="K17" s="152"/>
      <c r="L17" s="13"/>
      <c r="M17" s="311" t="s">
        <v>52</v>
      </c>
      <c r="N17" s="335" t="s">
        <v>53</v>
      </c>
      <c r="O17" s="336"/>
      <c r="P17" s="336"/>
      <c r="Q17" s="374" t="s">
        <v>23</v>
      </c>
      <c r="R17" s="374"/>
      <c r="S17" s="374"/>
      <c r="T17" s="374"/>
      <c r="U17" s="374"/>
      <c r="V17" s="374"/>
      <c r="W17" s="375"/>
      <c r="Y17" s="315" t="s">
        <v>54</v>
      </c>
      <c r="Z17" s="329" t="s">
        <v>55</v>
      </c>
      <c r="AA17" s="330"/>
      <c r="AB17" s="330"/>
      <c r="AC17" s="370" t="s">
        <v>44</v>
      </c>
      <c r="AD17" s="370"/>
      <c r="AE17" s="370"/>
      <c r="AF17" s="370"/>
      <c r="AG17" s="370"/>
      <c r="AH17" s="370"/>
      <c r="AI17" s="371"/>
    </row>
    <row r="18" spans="1:35" ht="27" customHeight="1" thickTop="1" thickBot="1">
      <c r="A18" s="16"/>
      <c r="B18" s="20"/>
      <c r="C18" s="21"/>
      <c r="D18" s="21"/>
      <c r="E18" s="21"/>
      <c r="F18" s="21"/>
      <c r="G18" s="21"/>
      <c r="H18" s="21"/>
      <c r="I18" s="21"/>
      <c r="J18" s="21"/>
      <c r="K18" s="22"/>
      <c r="L18" s="13"/>
      <c r="M18" s="311"/>
      <c r="N18" s="319" t="s">
        <v>56</v>
      </c>
      <c r="O18" s="320"/>
      <c r="P18" s="320"/>
      <c r="Q18" s="372"/>
      <c r="R18" s="372"/>
      <c r="S18" s="372"/>
      <c r="T18" s="372" t="s">
        <v>24</v>
      </c>
      <c r="U18" s="372"/>
      <c r="V18" s="372"/>
      <c r="W18" s="373"/>
      <c r="Y18" s="315"/>
      <c r="Z18" s="324" t="s">
        <v>57</v>
      </c>
      <c r="AA18" s="151"/>
      <c r="AB18" s="151"/>
      <c r="AC18" s="361"/>
      <c r="AD18" s="361"/>
      <c r="AE18" s="361"/>
      <c r="AF18" s="361" t="s">
        <v>47</v>
      </c>
      <c r="AG18" s="361"/>
      <c r="AH18" s="361"/>
      <c r="AI18" s="362"/>
    </row>
    <row r="19" spans="1:35" ht="21.75" customHeight="1" thickTop="1" thickBot="1">
      <c r="A19" s="16"/>
      <c r="B19" s="20"/>
      <c r="C19" s="21"/>
      <c r="D19" s="21"/>
      <c r="E19" s="21"/>
      <c r="F19" s="21"/>
      <c r="G19" s="21"/>
      <c r="H19" s="21"/>
      <c r="I19" s="21"/>
      <c r="J19" s="21"/>
      <c r="K19" s="22"/>
      <c r="L19" s="13"/>
      <c r="M19" s="311"/>
      <c r="N19" s="319" t="s">
        <v>58</v>
      </c>
      <c r="O19" s="320"/>
      <c r="P19" s="320"/>
      <c r="Q19" s="372"/>
      <c r="R19" s="372"/>
      <c r="S19" s="372"/>
      <c r="T19" s="372" t="s">
        <v>24</v>
      </c>
      <c r="U19" s="372"/>
      <c r="V19" s="372"/>
      <c r="W19" s="373"/>
      <c r="Y19" s="315"/>
      <c r="Z19" s="324" t="s">
        <v>59</v>
      </c>
      <c r="AA19" s="151"/>
      <c r="AB19" s="151"/>
      <c r="AC19" s="361"/>
      <c r="AD19" s="361"/>
      <c r="AE19" s="361"/>
      <c r="AF19" s="361" t="s">
        <v>47</v>
      </c>
      <c r="AG19" s="361"/>
      <c r="AH19" s="361"/>
      <c r="AI19" s="362"/>
    </row>
    <row r="20" spans="1:35" ht="30" customHeight="1" thickTop="1" thickBot="1">
      <c r="A20" s="16"/>
      <c r="B20" s="20"/>
      <c r="C20" s="21"/>
      <c r="D20" s="21"/>
      <c r="E20" s="21"/>
      <c r="F20" s="21"/>
      <c r="G20" s="21"/>
      <c r="H20" s="21"/>
      <c r="I20" s="21"/>
      <c r="J20" s="21"/>
      <c r="K20" s="22"/>
      <c r="L20" s="13"/>
      <c r="M20" s="311"/>
      <c r="N20" s="363" t="s">
        <v>60</v>
      </c>
      <c r="O20" s="364"/>
      <c r="P20" s="364"/>
      <c r="Q20" s="365"/>
      <c r="R20" s="365"/>
      <c r="S20" s="365"/>
      <c r="T20" s="365" t="s">
        <v>24</v>
      </c>
      <c r="U20" s="365"/>
      <c r="V20" s="365"/>
      <c r="W20" s="366"/>
      <c r="Y20" s="315"/>
      <c r="Z20" s="367" t="s">
        <v>61</v>
      </c>
      <c r="AA20" s="349"/>
      <c r="AB20" s="349"/>
      <c r="AC20" s="368"/>
      <c r="AD20" s="368"/>
      <c r="AE20" s="368"/>
      <c r="AF20" s="368" t="s">
        <v>47</v>
      </c>
      <c r="AG20" s="368"/>
      <c r="AH20" s="368"/>
      <c r="AI20" s="369"/>
    </row>
    <row r="21" spans="1:35" ht="30" customHeight="1" thickTop="1" thickBot="1">
      <c r="A21" s="16" t="s">
        <v>62</v>
      </c>
      <c r="B21" s="150" t="s">
        <v>63</v>
      </c>
      <c r="C21" s="151"/>
      <c r="D21" s="151"/>
      <c r="E21" s="151"/>
      <c r="F21" s="151"/>
      <c r="G21" s="151"/>
      <c r="H21" s="151"/>
      <c r="I21" s="151"/>
      <c r="J21" s="151"/>
      <c r="K21" s="152"/>
      <c r="L21" s="13"/>
      <c r="M21" s="311" t="s">
        <v>64</v>
      </c>
      <c r="N21" s="395" t="s">
        <v>24</v>
      </c>
      <c r="O21" s="389"/>
      <c r="P21" s="389"/>
      <c r="Q21" s="389"/>
      <c r="R21" s="389"/>
      <c r="S21" s="389"/>
      <c r="T21" s="389"/>
      <c r="U21" s="389"/>
      <c r="V21" s="389"/>
      <c r="W21" s="390"/>
      <c r="Y21" s="315" t="s">
        <v>66</v>
      </c>
      <c r="Z21" s="329" t="s">
        <v>179</v>
      </c>
      <c r="AA21" s="330"/>
      <c r="AB21" s="330"/>
      <c r="AC21" s="370" t="s">
        <v>44</v>
      </c>
      <c r="AD21" s="370"/>
      <c r="AE21" s="370"/>
      <c r="AF21" s="370" t="s">
        <v>47</v>
      </c>
      <c r="AG21" s="370"/>
      <c r="AH21" s="370"/>
      <c r="AI21" s="371"/>
    </row>
    <row r="22" spans="1:35" ht="48" customHeight="1" thickTop="1" thickBot="1">
      <c r="A22" s="16"/>
      <c r="B22" s="20"/>
      <c r="C22" s="21"/>
      <c r="D22" s="21"/>
      <c r="E22" s="21"/>
      <c r="F22" s="21"/>
      <c r="G22" s="21"/>
      <c r="H22" s="21"/>
      <c r="I22" s="21"/>
      <c r="J22" s="21"/>
      <c r="K22" s="22"/>
      <c r="L22" s="13"/>
      <c r="M22" s="311"/>
      <c r="N22" s="392" t="s">
        <v>68</v>
      </c>
      <c r="O22" s="377"/>
      <c r="P22" s="377"/>
      <c r="Q22" s="377"/>
      <c r="R22" s="377"/>
      <c r="S22" s="377"/>
      <c r="T22" s="377"/>
      <c r="U22" s="377"/>
      <c r="V22" s="377"/>
      <c r="W22" s="378"/>
      <c r="Y22" s="315"/>
      <c r="Z22" s="367" t="s">
        <v>180</v>
      </c>
      <c r="AA22" s="349"/>
      <c r="AB22" s="349"/>
      <c r="AC22" s="379" t="s">
        <v>69</v>
      </c>
      <c r="AD22" s="379"/>
      <c r="AE22" s="379"/>
      <c r="AF22" s="379"/>
      <c r="AG22" s="379"/>
      <c r="AH22" s="379"/>
      <c r="AI22" s="380"/>
    </row>
    <row r="23" spans="1:35" ht="28.5" customHeight="1" thickTop="1" thickBot="1">
      <c r="A23" s="176" t="s">
        <v>70</v>
      </c>
      <c r="B23" s="150" t="s">
        <v>20</v>
      </c>
      <c r="C23" s="151"/>
      <c r="D23" s="151"/>
      <c r="E23" s="151"/>
      <c r="F23" s="151"/>
      <c r="G23" s="151" t="s">
        <v>21</v>
      </c>
      <c r="H23" s="151"/>
      <c r="I23" s="151"/>
      <c r="J23" s="151"/>
      <c r="K23" s="152"/>
      <c r="L23" s="13"/>
      <c r="M23" s="311" t="s">
        <v>71</v>
      </c>
      <c r="N23" s="395" t="s">
        <v>24</v>
      </c>
      <c r="O23" s="389"/>
      <c r="P23" s="389"/>
      <c r="Q23" s="389"/>
      <c r="R23" s="389"/>
      <c r="S23" s="389"/>
      <c r="T23" s="389"/>
      <c r="U23" s="389"/>
      <c r="V23" s="389"/>
      <c r="W23" s="390"/>
      <c r="Y23" s="315" t="s">
        <v>72</v>
      </c>
      <c r="Z23" s="391" t="s">
        <v>44</v>
      </c>
      <c r="AA23" s="370"/>
      <c r="AB23" s="370"/>
      <c r="AC23" s="370"/>
      <c r="AD23" s="370"/>
      <c r="AE23" s="370" t="s">
        <v>47</v>
      </c>
      <c r="AF23" s="370"/>
      <c r="AG23" s="370"/>
      <c r="AH23" s="370"/>
      <c r="AI23" s="371"/>
    </row>
    <row r="24" spans="1:35" ht="41.25" customHeight="1" thickTop="1" thickBot="1">
      <c r="A24" s="176"/>
      <c r="B24" s="150" t="s">
        <v>73</v>
      </c>
      <c r="C24" s="151"/>
      <c r="D24" s="151"/>
      <c r="E24" s="151"/>
      <c r="F24" s="151"/>
      <c r="G24" s="151"/>
      <c r="H24" s="151"/>
      <c r="I24" s="151"/>
      <c r="J24" s="151"/>
      <c r="K24" s="152"/>
      <c r="L24" s="13"/>
      <c r="M24" s="311"/>
      <c r="N24" s="392" t="s">
        <v>75</v>
      </c>
      <c r="O24" s="377"/>
      <c r="P24" s="377"/>
      <c r="Q24" s="377"/>
      <c r="R24" s="377"/>
      <c r="S24" s="377"/>
      <c r="T24" s="377"/>
      <c r="U24" s="377"/>
      <c r="V24" s="377"/>
      <c r="W24" s="378"/>
      <c r="Y24" s="315"/>
      <c r="Z24" s="393" t="s">
        <v>181</v>
      </c>
      <c r="AA24" s="394"/>
      <c r="AB24" s="394"/>
      <c r="AC24" s="394"/>
      <c r="AD24" s="394"/>
      <c r="AE24" s="379" t="s">
        <v>76</v>
      </c>
      <c r="AF24" s="379"/>
      <c r="AG24" s="379"/>
      <c r="AH24" s="379"/>
      <c r="AI24" s="380"/>
    </row>
    <row r="25" spans="1:35" ht="30" customHeight="1" thickTop="1" thickBot="1">
      <c r="A25" s="176" t="s">
        <v>77</v>
      </c>
      <c r="B25" s="150" t="s">
        <v>78</v>
      </c>
      <c r="C25" s="151"/>
      <c r="D25" s="151"/>
      <c r="E25" s="151" t="s">
        <v>20</v>
      </c>
      <c r="F25" s="151"/>
      <c r="G25" s="151"/>
      <c r="H25" s="151" t="s">
        <v>21</v>
      </c>
      <c r="I25" s="151"/>
      <c r="J25" s="151"/>
      <c r="K25" s="152"/>
      <c r="L25" s="13"/>
      <c r="M25" s="311" t="s">
        <v>79</v>
      </c>
      <c r="N25" s="335" t="s">
        <v>80</v>
      </c>
      <c r="O25" s="336"/>
      <c r="P25" s="336"/>
      <c r="Q25" s="388" t="s">
        <v>24</v>
      </c>
      <c r="R25" s="389"/>
      <c r="S25" s="389"/>
      <c r="T25" s="389"/>
      <c r="U25" s="389"/>
      <c r="V25" s="389"/>
      <c r="W25" s="390"/>
      <c r="Y25" s="315" t="s">
        <v>81</v>
      </c>
      <c r="Z25" s="329" t="s">
        <v>82</v>
      </c>
      <c r="AA25" s="330"/>
      <c r="AB25" s="330"/>
      <c r="AC25" s="370" t="s">
        <v>44</v>
      </c>
      <c r="AD25" s="370"/>
      <c r="AE25" s="370"/>
      <c r="AF25" s="370" t="s">
        <v>47</v>
      </c>
      <c r="AG25" s="370"/>
      <c r="AH25" s="370"/>
      <c r="AI25" s="371"/>
    </row>
    <row r="26" spans="1:35" ht="36.75" customHeight="1" thickTop="1" thickBot="1">
      <c r="A26" s="176"/>
      <c r="B26" s="150"/>
      <c r="C26" s="151"/>
      <c r="D26" s="151"/>
      <c r="E26" s="151" t="s">
        <v>83</v>
      </c>
      <c r="F26" s="151"/>
      <c r="G26" s="151"/>
      <c r="H26" s="151"/>
      <c r="I26" s="151"/>
      <c r="J26" s="151"/>
      <c r="K26" s="152"/>
      <c r="L26" s="13"/>
      <c r="M26" s="311"/>
      <c r="N26" s="319"/>
      <c r="O26" s="320"/>
      <c r="P26" s="320"/>
      <c r="Q26" s="384" t="s">
        <v>85</v>
      </c>
      <c r="R26" s="385"/>
      <c r="S26" s="385"/>
      <c r="T26" s="385"/>
      <c r="U26" s="385"/>
      <c r="V26" s="385"/>
      <c r="W26" s="386"/>
      <c r="Y26" s="315"/>
      <c r="Z26" s="324"/>
      <c r="AA26" s="151"/>
      <c r="AB26" s="151"/>
      <c r="AC26" s="151" t="s">
        <v>182</v>
      </c>
      <c r="AD26" s="151"/>
      <c r="AE26" s="151"/>
      <c r="AF26" s="151" t="s">
        <v>86</v>
      </c>
      <c r="AG26" s="151"/>
      <c r="AH26" s="151"/>
      <c r="AI26" s="387"/>
    </row>
    <row r="27" spans="1:35" ht="20.25" thickTop="1" thickBot="1">
      <c r="A27" s="176"/>
      <c r="B27" s="150" t="s">
        <v>87</v>
      </c>
      <c r="C27" s="151"/>
      <c r="D27" s="151"/>
      <c r="E27" s="151" t="s">
        <v>20</v>
      </c>
      <c r="F27" s="151"/>
      <c r="G27" s="151"/>
      <c r="H27" s="151" t="s">
        <v>21</v>
      </c>
      <c r="I27" s="151"/>
      <c r="J27" s="151"/>
      <c r="K27" s="152"/>
      <c r="L27" s="13"/>
      <c r="M27" s="311"/>
      <c r="N27" s="319" t="s">
        <v>88</v>
      </c>
      <c r="O27" s="320"/>
      <c r="P27" s="320"/>
      <c r="Q27" s="381" t="s">
        <v>24</v>
      </c>
      <c r="R27" s="382"/>
      <c r="S27" s="382"/>
      <c r="T27" s="382"/>
      <c r="U27" s="382"/>
      <c r="V27" s="382"/>
      <c r="W27" s="383"/>
      <c r="Y27" s="315"/>
      <c r="Z27" s="324" t="s">
        <v>89</v>
      </c>
      <c r="AA27" s="151"/>
      <c r="AB27" s="151"/>
      <c r="AC27" s="361" t="s">
        <v>44</v>
      </c>
      <c r="AD27" s="361"/>
      <c r="AE27" s="361"/>
      <c r="AF27" s="361" t="s">
        <v>47</v>
      </c>
      <c r="AG27" s="361"/>
      <c r="AH27" s="361"/>
      <c r="AI27" s="362"/>
    </row>
    <row r="28" spans="1:35" ht="36.75" customHeight="1" thickTop="1" thickBot="1">
      <c r="A28" s="176"/>
      <c r="B28" s="150"/>
      <c r="C28" s="151"/>
      <c r="D28" s="151"/>
      <c r="E28" s="151" t="s">
        <v>83</v>
      </c>
      <c r="F28" s="151"/>
      <c r="G28" s="151"/>
      <c r="H28" s="151"/>
      <c r="I28" s="151"/>
      <c r="J28" s="151"/>
      <c r="K28" s="152"/>
      <c r="L28" s="13"/>
      <c r="M28" s="311"/>
      <c r="N28" s="319"/>
      <c r="O28" s="320"/>
      <c r="P28" s="320"/>
      <c r="Q28" s="384" t="s">
        <v>85</v>
      </c>
      <c r="R28" s="385"/>
      <c r="S28" s="385"/>
      <c r="T28" s="385"/>
      <c r="U28" s="385"/>
      <c r="V28" s="385"/>
      <c r="W28" s="386"/>
      <c r="Y28" s="315"/>
      <c r="Z28" s="324"/>
      <c r="AA28" s="151"/>
      <c r="AB28" s="151"/>
      <c r="AC28" s="151" t="str">
        <f>AC26</f>
        <v>Если нет, что нужно?</v>
      </c>
      <c r="AD28" s="151"/>
      <c r="AE28" s="151"/>
      <c r="AF28" s="151" t="s">
        <v>86</v>
      </c>
      <c r="AG28" s="151"/>
      <c r="AH28" s="151"/>
      <c r="AI28" s="387"/>
    </row>
    <row r="29" spans="1:35" ht="20.25" thickTop="1" thickBot="1">
      <c r="A29" s="176"/>
      <c r="B29" s="150" t="s">
        <v>90</v>
      </c>
      <c r="C29" s="151"/>
      <c r="D29" s="151"/>
      <c r="E29" s="151" t="s">
        <v>20</v>
      </c>
      <c r="F29" s="151"/>
      <c r="G29" s="151"/>
      <c r="H29" s="151" t="s">
        <v>21</v>
      </c>
      <c r="I29" s="151"/>
      <c r="J29" s="151"/>
      <c r="K29" s="152"/>
      <c r="L29" s="13"/>
      <c r="M29" s="311"/>
      <c r="N29" s="319" t="s">
        <v>91</v>
      </c>
      <c r="O29" s="320"/>
      <c r="P29" s="320"/>
      <c r="Q29" s="381" t="s">
        <v>24</v>
      </c>
      <c r="R29" s="382"/>
      <c r="S29" s="382"/>
      <c r="T29" s="382"/>
      <c r="U29" s="382"/>
      <c r="V29" s="382"/>
      <c r="W29" s="383"/>
      <c r="Y29" s="315"/>
      <c r="Z29" s="324" t="s">
        <v>92</v>
      </c>
      <c r="AA29" s="151"/>
      <c r="AB29" s="151"/>
      <c r="AC29" s="361" t="s">
        <v>44</v>
      </c>
      <c r="AD29" s="361"/>
      <c r="AE29" s="361"/>
      <c r="AF29" s="361" t="s">
        <v>47</v>
      </c>
      <c r="AG29" s="361"/>
      <c r="AH29" s="361"/>
      <c r="AI29" s="362"/>
    </row>
    <row r="30" spans="1:35" ht="39.75" customHeight="1" thickTop="1" thickBot="1">
      <c r="A30" s="176"/>
      <c r="B30" s="150"/>
      <c r="C30" s="151"/>
      <c r="D30" s="151"/>
      <c r="E30" s="151" t="s">
        <v>83</v>
      </c>
      <c r="F30" s="151"/>
      <c r="G30" s="151"/>
      <c r="H30" s="151"/>
      <c r="I30" s="151"/>
      <c r="J30" s="151"/>
      <c r="K30" s="152"/>
      <c r="L30" s="13"/>
      <c r="M30" s="311"/>
      <c r="N30" s="363"/>
      <c r="O30" s="364"/>
      <c r="P30" s="364"/>
      <c r="Q30" s="376" t="s">
        <v>93</v>
      </c>
      <c r="R30" s="377"/>
      <c r="S30" s="377"/>
      <c r="T30" s="377"/>
      <c r="U30" s="377"/>
      <c r="V30" s="377"/>
      <c r="W30" s="378"/>
      <c r="Y30" s="315"/>
      <c r="Z30" s="367"/>
      <c r="AA30" s="349"/>
      <c r="AB30" s="349"/>
      <c r="AC30" s="349" t="str">
        <f>AC26</f>
        <v>Если нет, что нужно?</v>
      </c>
      <c r="AD30" s="349"/>
      <c r="AE30" s="349"/>
      <c r="AF30" s="379" t="s">
        <v>94</v>
      </c>
      <c r="AG30" s="379"/>
      <c r="AH30" s="379"/>
      <c r="AI30" s="380"/>
    </row>
    <row r="31" spans="1:35" ht="20.25" thickTop="1" thickBot="1">
      <c r="A31" s="176" t="s">
        <v>95</v>
      </c>
      <c r="B31" s="150" t="s">
        <v>96</v>
      </c>
      <c r="C31" s="151"/>
      <c r="D31" s="151"/>
      <c r="E31" s="151" t="s">
        <v>20</v>
      </c>
      <c r="F31" s="151"/>
      <c r="G31" s="151"/>
      <c r="H31" s="151" t="s">
        <v>21</v>
      </c>
      <c r="I31" s="151"/>
      <c r="J31" s="151"/>
      <c r="K31" s="152"/>
      <c r="L31" s="13"/>
      <c r="M31" s="311" t="s">
        <v>97</v>
      </c>
      <c r="N31" s="335" t="s">
        <v>98</v>
      </c>
      <c r="O31" s="336"/>
      <c r="P31" s="336"/>
      <c r="Q31" s="374" t="s">
        <v>23</v>
      </c>
      <c r="R31" s="374"/>
      <c r="S31" s="374"/>
      <c r="T31" s="374"/>
      <c r="U31" s="374"/>
      <c r="V31" s="374"/>
      <c r="W31" s="375"/>
      <c r="Y31" s="315" t="s">
        <v>99</v>
      </c>
      <c r="Z31" s="329" t="s">
        <v>100</v>
      </c>
      <c r="AA31" s="330"/>
      <c r="AB31" s="330"/>
      <c r="AC31" s="370" t="s">
        <v>44</v>
      </c>
      <c r="AD31" s="370"/>
      <c r="AE31" s="370"/>
      <c r="AF31" s="370" t="s">
        <v>47</v>
      </c>
      <c r="AG31" s="370"/>
      <c r="AH31" s="370"/>
      <c r="AI31" s="371"/>
    </row>
    <row r="32" spans="1:35" ht="20.25" thickTop="1" thickBot="1">
      <c r="A32" s="176"/>
      <c r="B32" s="150" t="s">
        <v>101</v>
      </c>
      <c r="C32" s="151"/>
      <c r="D32" s="151"/>
      <c r="E32" s="151" t="s">
        <v>20</v>
      </c>
      <c r="F32" s="151"/>
      <c r="G32" s="151"/>
      <c r="H32" s="151" t="s">
        <v>21</v>
      </c>
      <c r="I32" s="151"/>
      <c r="J32" s="151"/>
      <c r="K32" s="152"/>
      <c r="L32" s="13"/>
      <c r="M32" s="311"/>
      <c r="N32" s="319" t="s">
        <v>102</v>
      </c>
      <c r="O32" s="320"/>
      <c r="P32" s="320"/>
      <c r="Q32" s="372"/>
      <c r="R32" s="372"/>
      <c r="S32" s="372"/>
      <c r="T32" s="372" t="s">
        <v>24</v>
      </c>
      <c r="U32" s="372"/>
      <c r="V32" s="372"/>
      <c r="W32" s="373"/>
      <c r="Y32" s="315"/>
      <c r="Z32" s="324" t="s">
        <v>103</v>
      </c>
      <c r="AA32" s="151"/>
      <c r="AB32" s="151"/>
      <c r="AC32" s="361" t="s">
        <v>44</v>
      </c>
      <c r="AD32" s="361"/>
      <c r="AE32" s="361"/>
      <c r="AF32" s="361" t="s">
        <v>47</v>
      </c>
      <c r="AG32" s="361"/>
      <c r="AH32" s="361"/>
      <c r="AI32" s="362"/>
    </row>
    <row r="33" spans="1:35" ht="39.75" customHeight="1" thickTop="1" thickBot="1">
      <c r="A33" s="176"/>
      <c r="B33" s="150" t="s">
        <v>104</v>
      </c>
      <c r="C33" s="151"/>
      <c r="D33" s="151"/>
      <c r="E33" s="151" t="s">
        <v>20</v>
      </c>
      <c r="F33" s="151"/>
      <c r="G33" s="151"/>
      <c r="H33" s="151" t="s">
        <v>21</v>
      </c>
      <c r="I33" s="151"/>
      <c r="J33" s="151"/>
      <c r="K33" s="152"/>
      <c r="L33" s="13"/>
      <c r="M33" s="311"/>
      <c r="N33" s="363" t="s">
        <v>105</v>
      </c>
      <c r="O33" s="364"/>
      <c r="P33" s="364"/>
      <c r="Q33" s="365" t="s">
        <v>23</v>
      </c>
      <c r="R33" s="365"/>
      <c r="S33" s="365"/>
      <c r="T33" s="365"/>
      <c r="U33" s="365"/>
      <c r="V33" s="365"/>
      <c r="W33" s="366"/>
      <c r="Y33" s="315"/>
      <c r="Z33" s="367" t="s">
        <v>106</v>
      </c>
      <c r="AA33" s="349"/>
      <c r="AB33" s="349"/>
      <c r="AC33" s="368" t="s">
        <v>44</v>
      </c>
      <c r="AD33" s="368"/>
      <c r="AE33" s="368"/>
      <c r="AF33" s="368" t="s">
        <v>47</v>
      </c>
      <c r="AG33" s="368"/>
      <c r="AH33" s="368"/>
      <c r="AI33" s="369"/>
    </row>
    <row r="34" spans="1:35" ht="30" customHeight="1" thickTop="1" thickBot="1">
      <c r="A34" s="16"/>
      <c r="B34" s="20"/>
      <c r="C34" s="21"/>
      <c r="D34" s="21"/>
      <c r="E34" s="21"/>
      <c r="F34" s="21"/>
      <c r="G34" s="21"/>
      <c r="H34" s="21"/>
      <c r="I34" s="21"/>
      <c r="J34" s="21"/>
      <c r="K34" s="22"/>
      <c r="L34" s="13"/>
      <c r="M34" s="311" t="s">
        <v>107</v>
      </c>
      <c r="N34" s="335" t="s">
        <v>108</v>
      </c>
      <c r="O34" s="336"/>
      <c r="P34" s="336"/>
      <c r="Q34" s="374" t="s">
        <v>23</v>
      </c>
      <c r="R34" s="374"/>
      <c r="S34" s="374"/>
      <c r="T34" s="374"/>
      <c r="U34" s="374"/>
      <c r="V34" s="374"/>
      <c r="W34" s="375"/>
      <c r="Y34" s="315" t="s">
        <v>109</v>
      </c>
      <c r="Z34" s="329" t="s">
        <v>110</v>
      </c>
      <c r="AA34" s="330"/>
      <c r="AB34" s="330"/>
      <c r="AC34" s="370" t="s">
        <v>44</v>
      </c>
      <c r="AD34" s="370"/>
      <c r="AE34" s="370"/>
      <c r="AF34" s="370" t="s">
        <v>47</v>
      </c>
      <c r="AG34" s="370"/>
      <c r="AH34" s="370"/>
      <c r="AI34" s="371"/>
    </row>
    <row r="35" spans="1:35" ht="44.25" customHeight="1" thickTop="1" thickBot="1">
      <c r="A35" s="16"/>
      <c r="B35" s="20"/>
      <c r="C35" s="21"/>
      <c r="D35" s="21"/>
      <c r="E35" s="21"/>
      <c r="F35" s="21"/>
      <c r="G35" s="21"/>
      <c r="H35" s="21"/>
      <c r="I35" s="21"/>
      <c r="J35" s="21"/>
      <c r="K35" s="22"/>
      <c r="L35" s="13"/>
      <c r="M35" s="311"/>
      <c r="N35" s="319" t="s">
        <v>111</v>
      </c>
      <c r="O35" s="320"/>
      <c r="P35" s="320"/>
      <c r="Q35" s="372" t="s">
        <v>23</v>
      </c>
      <c r="R35" s="372"/>
      <c r="S35" s="372"/>
      <c r="T35" s="372"/>
      <c r="U35" s="372"/>
      <c r="V35" s="372"/>
      <c r="W35" s="373"/>
      <c r="Y35" s="315"/>
      <c r="Z35" s="324" t="s">
        <v>112</v>
      </c>
      <c r="AA35" s="151"/>
      <c r="AB35" s="151"/>
      <c r="AC35" s="361" t="s">
        <v>44</v>
      </c>
      <c r="AD35" s="361"/>
      <c r="AE35" s="361"/>
      <c r="AF35" s="361" t="s">
        <v>47</v>
      </c>
      <c r="AG35" s="361"/>
      <c r="AH35" s="361"/>
      <c r="AI35" s="362"/>
    </row>
    <row r="36" spans="1:35" ht="30" customHeight="1" thickTop="1" thickBot="1">
      <c r="A36" s="16"/>
      <c r="B36" s="20"/>
      <c r="C36" s="21"/>
      <c r="D36" s="21"/>
      <c r="E36" s="21"/>
      <c r="F36" s="21"/>
      <c r="G36" s="21"/>
      <c r="H36" s="21"/>
      <c r="I36" s="21"/>
      <c r="J36" s="21"/>
      <c r="K36" s="22"/>
      <c r="L36" s="13"/>
      <c r="M36" s="311"/>
      <c r="N36" s="319" t="s">
        <v>113</v>
      </c>
      <c r="O36" s="320"/>
      <c r="P36" s="320"/>
      <c r="Q36" s="372"/>
      <c r="R36" s="372"/>
      <c r="S36" s="372"/>
      <c r="T36" s="372" t="s">
        <v>24</v>
      </c>
      <c r="U36" s="372"/>
      <c r="V36" s="372"/>
      <c r="W36" s="373"/>
      <c r="Y36" s="315"/>
      <c r="Z36" s="324" t="s">
        <v>114</v>
      </c>
      <c r="AA36" s="151"/>
      <c r="AB36" s="151"/>
      <c r="AC36" s="361" t="s">
        <v>44</v>
      </c>
      <c r="AD36" s="361"/>
      <c r="AE36" s="361"/>
      <c r="AF36" s="361" t="s">
        <v>47</v>
      </c>
      <c r="AG36" s="361"/>
      <c r="AH36" s="361"/>
      <c r="AI36" s="362"/>
    </row>
    <row r="37" spans="1:35" ht="44.25" customHeight="1" thickTop="1" thickBot="1">
      <c r="A37" s="16"/>
      <c r="B37" s="20"/>
      <c r="C37" s="21"/>
      <c r="D37" s="21"/>
      <c r="E37" s="21"/>
      <c r="F37" s="21"/>
      <c r="G37" s="21"/>
      <c r="H37" s="21"/>
      <c r="I37" s="21"/>
      <c r="J37" s="21"/>
      <c r="K37" s="22"/>
      <c r="L37" s="13"/>
      <c r="M37" s="311"/>
      <c r="N37" s="363" t="s">
        <v>115</v>
      </c>
      <c r="O37" s="364"/>
      <c r="P37" s="364"/>
      <c r="Q37" s="365"/>
      <c r="R37" s="365"/>
      <c r="S37" s="365"/>
      <c r="T37" s="365" t="s">
        <v>24</v>
      </c>
      <c r="U37" s="365"/>
      <c r="V37" s="365"/>
      <c r="W37" s="366"/>
      <c r="Y37" s="315"/>
      <c r="Z37" s="367" t="s">
        <v>116</v>
      </c>
      <c r="AA37" s="349"/>
      <c r="AB37" s="349"/>
      <c r="AC37" s="368" t="s">
        <v>44</v>
      </c>
      <c r="AD37" s="368"/>
      <c r="AE37" s="368"/>
      <c r="AF37" s="368" t="s">
        <v>47</v>
      </c>
      <c r="AG37" s="368"/>
      <c r="AH37" s="368"/>
      <c r="AI37" s="369"/>
    </row>
    <row r="38" spans="1:35" ht="43.5" customHeight="1" thickTop="1" thickBot="1">
      <c r="A38" s="16" t="s">
        <v>117</v>
      </c>
      <c r="B38" s="20" t="s">
        <v>96</v>
      </c>
      <c r="C38" s="151" t="s">
        <v>20</v>
      </c>
      <c r="D38" s="151"/>
      <c r="E38" s="151" t="s">
        <v>21</v>
      </c>
      <c r="F38" s="151"/>
      <c r="G38" s="21" t="s">
        <v>118</v>
      </c>
      <c r="H38" s="151" t="s">
        <v>20</v>
      </c>
      <c r="I38" s="151"/>
      <c r="J38" s="151"/>
      <c r="K38" s="22" t="s">
        <v>21</v>
      </c>
      <c r="L38" s="13"/>
      <c r="M38" s="33" t="s">
        <v>119</v>
      </c>
      <c r="N38" s="360" t="s">
        <v>120</v>
      </c>
      <c r="O38" s="360"/>
      <c r="P38" s="360"/>
      <c r="Q38" s="35" t="s">
        <v>23</v>
      </c>
      <c r="R38" s="35"/>
      <c r="S38" s="360" t="s">
        <v>121</v>
      </c>
      <c r="T38" s="360"/>
      <c r="U38" s="360"/>
      <c r="V38" s="35" t="s">
        <v>23</v>
      </c>
      <c r="W38" s="35"/>
      <c r="Y38" s="14" t="s">
        <v>122</v>
      </c>
      <c r="Z38" s="342" t="s">
        <v>123</v>
      </c>
      <c r="AA38" s="342"/>
      <c r="AB38" s="342"/>
      <c r="AC38" s="17" t="s">
        <v>44</v>
      </c>
      <c r="AD38" s="17" t="s">
        <v>47</v>
      </c>
      <c r="AE38" s="342" t="s">
        <v>124</v>
      </c>
      <c r="AF38" s="342"/>
      <c r="AG38" s="342"/>
      <c r="AH38" s="17" t="s">
        <v>44</v>
      </c>
      <c r="AI38" s="17" t="s">
        <v>47</v>
      </c>
    </row>
    <row r="39" spans="1:35" ht="30.75" customHeight="1" thickTop="1" thickBot="1">
      <c r="A39" s="176" t="s">
        <v>125</v>
      </c>
      <c r="B39" s="215" t="s">
        <v>126</v>
      </c>
      <c r="C39" s="216"/>
      <c r="D39" s="216" t="s">
        <v>127</v>
      </c>
      <c r="E39" s="216"/>
      <c r="F39" s="216"/>
      <c r="G39" s="216" t="s">
        <v>128</v>
      </c>
      <c r="H39" s="216"/>
      <c r="I39" s="216" t="s">
        <v>129</v>
      </c>
      <c r="J39" s="216"/>
      <c r="K39" s="217"/>
      <c r="L39" s="24"/>
      <c r="M39" s="311" t="s">
        <v>130</v>
      </c>
      <c r="N39" s="359" t="s">
        <v>131</v>
      </c>
      <c r="O39" s="354"/>
      <c r="P39" s="354" t="s">
        <v>132</v>
      </c>
      <c r="Q39" s="354"/>
      <c r="R39" s="354"/>
      <c r="S39" s="354" t="s">
        <v>133</v>
      </c>
      <c r="T39" s="354"/>
      <c r="U39" s="354" t="s">
        <v>134</v>
      </c>
      <c r="V39" s="354"/>
      <c r="W39" s="355"/>
      <c r="Y39" s="315" t="s">
        <v>135</v>
      </c>
      <c r="Z39" s="356" t="s">
        <v>136</v>
      </c>
      <c r="AA39" s="357"/>
      <c r="AB39" s="357" t="s">
        <v>137</v>
      </c>
      <c r="AC39" s="357"/>
      <c r="AD39" s="357"/>
      <c r="AE39" s="357" t="s">
        <v>138</v>
      </c>
      <c r="AF39" s="357"/>
      <c r="AG39" s="357" t="s">
        <v>139</v>
      </c>
      <c r="AH39" s="357"/>
      <c r="AI39" s="358"/>
    </row>
    <row r="40" spans="1:35" ht="206.25" customHeight="1" thickTop="1" thickBot="1">
      <c r="A40" s="176"/>
      <c r="B40" s="204" t="s">
        <v>140</v>
      </c>
      <c r="C40" s="205"/>
      <c r="D40" s="205" t="s">
        <v>141</v>
      </c>
      <c r="E40" s="205"/>
      <c r="F40" s="205"/>
      <c r="G40" s="205" t="s">
        <v>141</v>
      </c>
      <c r="H40" s="205"/>
      <c r="I40" s="205" t="s">
        <v>141</v>
      </c>
      <c r="J40" s="205"/>
      <c r="K40" s="206"/>
      <c r="L40" s="25"/>
      <c r="M40" s="311"/>
      <c r="N40" s="352" t="str">
        <f>'БП-Eng'!E214</f>
        <v xml:space="preserve">Import substitution, job creation and other
Own raw materials in relation to the production site, a wide range of products. Engaging advanced technology </v>
      </c>
      <c r="O40" s="353"/>
      <c r="P40" s="345" t="str">
        <f>'БП-Eng'!E215</f>
        <v>High sensitivity to changes in product prices, targeted marketing measures are required to promote products in the retail market</v>
      </c>
      <c r="Q40" s="346"/>
      <c r="R40" s="346"/>
      <c r="S40" s="345" t="str">
        <f>'БП-Eng'!E216</f>
        <v>The possibility of increasing the range of products</v>
      </c>
      <c r="T40" s="346"/>
      <c r="U40" s="345" t="str">
        <f>'БП-Eng'!E217</f>
        <v>High competition, availability of similar low quality products</v>
      </c>
      <c r="V40" s="346"/>
      <c r="W40" s="347"/>
      <c r="Y40" s="315"/>
      <c r="Z40" s="348" t="str">
        <f>'[38]Форма-отчета 16'!E232</f>
        <v xml:space="preserve">Продукция имеет достаточный спрос, 
Привлечение новой передовой технологии, 
Подержка государства по льготам СЭЗ и др.  </v>
      </c>
      <c r="AA40" s="349"/>
      <c r="AB40" s="350" t="str">
        <f>'[38]Форма-отчета 16'!E233</f>
        <v>Требуется квалифицированный персонал, 
Отсутствие дизайнеров и технических инженеров и др.</v>
      </c>
      <c r="AC40" s="349"/>
      <c r="AD40" s="349"/>
      <c r="AE40" s="350" t="str">
        <f>'[38]Форма-отчета 16'!E234</f>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
      <c r="AF40" s="349"/>
      <c r="AG40" s="350" t="str">
        <f>'[38]Форма-отчета 16'!E235</f>
        <v>Частичная импортная зависимость, 
Наличие конкурентов импортеров продукции высокого качества</v>
      </c>
      <c r="AH40" s="349"/>
      <c r="AI40" s="351"/>
    </row>
    <row r="41" spans="1:35" ht="41.25" customHeight="1" thickTop="1" thickBot="1">
      <c r="A41" s="176" t="s">
        <v>142</v>
      </c>
      <c r="B41" s="150" t="s">
        <v>143</v>
      </c>
      <c r="C41" s="151"/>
      <c r="D41" s="151"/>
      <c r="E41" s="151"/>
      <c r="F41" s="151"/>
      <c r="G41" s="151" t="s">
        <v>144</v>
      </c>
      <c r="H41" s="151"/>
      <c r="I41" s="151"/>
      <c r="J41" s="151"/>
      <c r="K41" s="152"/>
      <c r="L41" s="13"/>
      <c r="M41" s="36" t="s">
        <v>145</v>
      </c>
      <c r="N41" s="337">
        <f>ПаспортРУС!Z41</f>
        <v>0.30652290845359387</v>
      </c>
      <c r="O41" s="337"/>
      <c r="P41" s="337"/>
      <c r="Q41" s="337"/>
      <c r="R41" s="337"/>
      <c r="S41" s="337"/>
      <c r="T41" s="337"/>
      <c r="U41" s="337"/>
      <c r="V41" s="337"/>
      <c r="W41" s="337"/>
      <c r="Y41" s="26" t="s">
        <v>146</v>
      </c>
      <c r="Z41" s="338">
        <f>'[38]Форма-отчета 16'!E225</f>
        <v>0.10839873986813564</v>
      </c>
      <c r="AA41" s="338"/>
      <c r="AB41" s="338"/>
      <c r="AC41" s="338"/>
      <c r="AD41" s="338"/>
      <c r="AE41" s="338"/>
      <c r="AF41" s="338"/>
      <c r="AG41" s="338"/>
      <c r="AH41" s="338"/>
      <c r="AI41" s="338"/>
    </row>
    <row r="42" spans="1:35" ht="41.25" customHeight="1" thickTop="1" thickBot="1">
      <c r="A42" s="176"/>
      <c r="B42" s="20"/>
      <c r="C42" s="21"/>
      <c r="D42" s="21"/>
      <c r="E42" s="21"/>
      <c r="F42" s="21"/>
      <c r="G42" s="21"/>
      <c r="H42" s="21"/>
      <c r="I42" s="21"/>
      <c r="J42" s="21"/>
      <c r="K42" s="22"/>
      <c r="L42" s="13"/>
      <c r="M42" s="36" t="s">
        <v>147</v>
      </c>
      <c r="N42" s="339">
        <f>ПаспортРУС!Z42</f>
        <v>13160447.434307046</v>
      </c>
      <c r="O42" s="340"/>
      <c r="P42" s="340"/>
      <c r="Q42" s="340"/>
      <c r="R42" s="340"/>
      <c r="S42" s="340"/>
      <c r="T42" s="340"/>
      <c r="U42" s="340"/>
      <c r="V42" s="340"/>
      <c r="W42" s="340"/>
      <c r="Y42" s="26" t="s">
        <v>148</v>
      </c>
      <c r="Z42" s="341">
        <f>'[38]Форма-отчета 16'!E226</f>
        <v>958739.36945756758</v>
      </c>
      <c r="AA42" s="342"/>
      <c r="AB42" s="342"/>
      <c r="AC42" s="342"/>
      <c r="AD42" s="342"/>
      <c r="AE42" s="342"/>
      <c r="AF42" s="342"/>
      <c r="AG42" s="342"/>
      <c r="AH42" s="342"/>
      <c r="AI42" s="342"/>
    </row>
    <row r="43" spans="1:35" ht="42" customHeight="1" thickTop="1" thickBot="1">
      <c r="A43" s="176"/>
      <c r="B43" s="20"/>
      <c r="C43" s="21"/>
      <c r="D43" s="21"/>
      <c r="E43" s="21"/>
      <c r="F43" s="21"/>
      <c r="G43" s="21"/>
      <c r="H43" s="21"/>
      <c r="I43" s="21"/>
      <c r="J43" s="21"/>
      <c r="K43" s="22"/>
      <c r="L43" s="13"/>
      <c r="M43" s="36" t="s">
        <v>149</v>
      </c>
      <c r="N43" s="343">
        <f>ПаспортРУС!Z43</f>
        <v>2.7483505164567648</v>
      </c>
      <c r="O43" s="340"/>
      <c r="P43" s="340"/>
      <c r="Q43" s="340"/>
      <c r="R43" s="340"/>
      <c r="S43" s="340"/>
      <c r="T43" s="340"/>
      <c r="U43" s="340"/>
      <c r="V43" s="340"/>
      <c r="W43" s="340"/>
      <c r="Y43" s="26" t="s">
        <v>150</v>
      </c>
      <c r="Z43" s="344">
        <f>'[38]Форма-отчета 16'!E227</f>
        <v>1.2552798753725618</v>
      </c>
      <c r="AA43" s="342"/>
      <c r="AB43" s="342"/>
      <c r="AC43" s="342"/>
      <c r="AD43" s="342"/>
      <c r="AE43" s="342"/>
      <c r="AF43" s="342"/>
      <c r="AG43" s="342"/>
      <c r="AH43" s="342"/>
      <c r="AI43" s="342"/>
    </row>
    <row r="44" spans="1:35" ht="42.75" customHeight="1" thickTop="1" thickBot="1">
      <c r="A44" s="176" t="s">
        <v>151</v>
      </c>
      <c r="B44" s="150" t="s">
        <v>152</v>
      </c>
      <c r="C44" s="151"/>
      <c r="D44" s="151"/>
      <c r="E44" s="151" t="s">
        <v>20</v>
      </c>
      <c r="F44" s="151"/>
      <c r="G44" s="151"/>
      <c r="H44" s="151" t="s">
        <v>21</v>
      </c>
      <c r="I44" s="151"/>
      <c r="J44" s="151"/>
      <c r="K44" s="152"/>
      <c r="L44" s="13"/>
      <c r="M44" s="334" t="s">
        <v>153</v>
      </c>
      <c r="N44" s="335" t="s">
        <v>154</v>
      </c>
      <c r="O44" s="336"/>
      <c r="P44" s="336"/>
      <c r="Q44" s="325">
        <f>ПаспортРУС!AC44</f>
        <v>2382100.4648113577</v>
      </c>
      <c r="R44" s="326"/>
      <c r="S44" s="326"/>
      <c r="T44" s="326"/>
      <c r="U44" s="326"/>
      <c r="V44" s="326"/>
      <c r="W44" s="327"/>
      <c r="Y44" s="328" t="s">
        <v>155</v>
      </c>
      <c r="Z44" s="329" t="str">
        <f>'[38]Форма-отчета 16'!D216</f>
        <v>Вклад местного инвестора (инициатора), $</v>
      </c>
      <c r="AA44" s="330"/>
      <c r="AB44" s="330"/>
      <c r="AC44" s="331">
        <f>'[38]Форма-отчета 16'!E216</f>
        <v>1080875</v>
      </c>
      <c r="AD44" s="299"/>
      <c r="AE44" s="299"/>
      <c r="AF44" s="299"/>
      <c r="AG44" s="299"/>
      <c r="AH44" s="299"/>
      <c r="AI44" s="300"/>
    </row>
    <row r="45" spans="1:35" ht="33" customHeight="1" thickTop="1" thickBot="1">
      <c r="A45" s="176"/>
      <c r="B45" s="150" t="s">
        <v>156</v>
      </c>
      <c r="C45" s="151"/>
      <c r="D45" s="151"/>
      <c r="E45" s="151" t="s">
        <v>20</v>
      </c>
      <c r="F45" s="151"/>
      <c r="G45" s="151"/>
      <c r="H45" s="151" t="s">
        <v>21</v>
      </c>
      <c r="I45" s="151"/>
      <c r="J45" s="151"/>
      <c r="K45" s="152"/>
      <c r="L45" s="13"/>
      <c r="M45" s="334"/>
      <c r="N45" s="332" t="s">
        <v>157</v>
      </c>
      <c r="O45" s="320"/>
      <c r="P45" s="320"/>
      <c r="Q45" s="321">
        <f>ПаспортРУС!AC45</f>
        <v>4983222.2606997862</v>
      </c>
      <c r="R45" s="322"/>
      <c r="S45" s="322"/>
      <c r="T45" s="322"/>
      <c r="U45" s="322"/>
      <c r="V45" s="322"/>
      <c r="W45" s="323"/>
      <c r="Y45" s="328"/>
      <c r="Z45" s="333" t="str">
        <f>'[38]Форма-отчета 16'!D217</f>
        <v>Вклад иностранного инвестора, $</v>
      </c>
      <c r="AA45" s="151"/>
      <c r="AB45" s="151"/>
      <c r="AC45" s="316">
        <f>'[38]Форма-отчета 16'!E217</f>
        <v>2183014</v>
      </c>
      <c r="AD45" s="317"/>
      <c r="AE45" s="317"/>
      <c r="AF45" s="317"/>
      <c r="AG45" s="317"/>
      <c r="AH45" s="317"/>
      <c r="AI45" s="318"/>
    </row>
    <row r="46" spans="1:35" ht="31.5" customHeight="1" thickTop="1" thickBot="1">
      <c r="A46" s="176"/>
      <c r="B46" s="150" t="s">
        <v>158</v>
      </c>
      <c r="C46" s="151"/>
      <c r="D46" s="151"/>
      <c r="E46" s="151" t="s">
        <v>20</v>
      </c>
      <c r="F46" s="151"/>
      <c r="G46" s="151"/>
      <c r="H46" s="151" t="s">
        <v>21</v>
      </c>
      <c r="I46" s="151"/>
      <c r="J46" s="151"/>
      <c r="K46" s="152"/>
      <c r="L46" s="13"/>
      <c r="M46" s="334"/>
      <c r="N46" s="319" t="s">
        <v>159</v>
      </c>
      <c r="O46" s="320"/>
      <c r="P46" s="320"/>
      <c r="Q46" s="321">
        <f>ПаспортРУС!AC46</f>
        <v>0</v>
      </c>
      <c r="R46" s="322"/>
      <c r="S46" s="322"/>
      <c r="T46" s="322"/>
      <c r="U46" s="322"/>
      <c r="V46" s="322"/>
      <c r="W46" s="323"/>
      <c r="Y46" s="328"/>
      <c r="Z46" s="324" t="s">
        <v>160</v>
      </c>
      <c r="AA46" s="151"/>
      <c r="AB46" s="151"/>
      <c r="AC46" s="316">
        <f>'[38]Форма-отчета 16'!E218</f>
        <v>0</v>
      </c>
      <c r="AD46" s="317"/>
      <c r="AE46" s="317"/>
      <c r="AF46" s="317"/>
      <c r="AG46" s="317"/>
      <c r="AH46" s="317"/>
      <c r="AI46" s="318"/>
    </row>
    <row r="47" spans="1:35" ht="39" customHeight="1" thickTop="1" thickBot="1">
      <c r="A47" s="16"/>
      <c r="B47" s="20"/>
      <c r="C47" s="21"/>
      <c r="D47" s="21"/>
      <c r="E47" s="21"/>
      <c r="F47" s="21"/>
      <c r="G47" s="21"/>
      <c r="H47" s="21"/>
      <c r="I47" s="21"/>
      <c r="J47" s="21"/>
      <c r="K47" s="22"/>
      <c r="L47" s="13"/>
      <c r="M47" s="311" t="s">
        <v>161</v>
      </c>
      <c r="N47" s="312" t="s">
        <v>183</v>
      </c>
      <c r="O47" s="313"/>
      <c r="P47" s="314"/>
      <c r="Q47" s="312" t="s">
        <v>163</v>
      </c>
      <c r="R47" s="313"/>
      <c r="S47" s="314"/>
      <c r="T47" s="312" t="s">
        <v>164</v>
      </c>
      <c r="U47" s="313"/>
      <c r="V47" s="313"/>
      <c r="W47" s="314"/>
      <c r="Y47" s="315" t="s">
        <v>165</v>
      </c>
      <c r="Z47" s="298" t="s">
        <v>166</v>
      </c>
      <c r="AA47" s="299"/>
      <c r="AB47" s="300"/>
      <c r="AC47" s="298" t="s">
        <v>167</v>
      </c>
      <c r="AD47" s="299"/>
      <c r="AE47" s="300"/>
      <c r="AF47" s="301" t="s">
        <v>168</v>
      </c>
      <c r="AG47" s="299"/>
      <c r="AH47" s="299"/>
      <c r="AI47" s="300"/>
    </row>
    <row r="48" spans="1:35" ht="54.75" customHeight="1" thickTop="1" thickBot="1">
      <c r="A48" s="16"/>
      <c r="B48" s="20"/>
      <c r="C48" s="21"/>
      <c r="D48" s="21"/>
      <c r="E48" s="21"/>
      <c r="F48" s="21"/>
      <c r="G48" s="21"/>
      <c r="H48" s="21"/>
      <c r="I48" s="21"/>
      <c r="J48" s="21"/>
      <c r="K48" s="22"/>
      <c r="L48" s="13"/>
      <c r="M48" s="311"/>
      <c r="N48" s="37" t="s">
        <v>184</v>
      </c>
      <c r="O48" s="302" t="s">
        <v>170</v>
      </c>
      <c r="P48" s="303"/>
      <c r="Q48" s="37" t="str">
        <f>ПаспортРУС!AC48</f>
        <v>Abdullaeva Sh.</v>
      </c>
      <c r="R48" s="302" t="s">
        <v>171</v>
      </c>
      <c r="S48" s="303"/>
      <c r="T48" s="304" t="s">
        <v>172</v>
      </c>
      <c r="U48" s="305"/>
      <c r="V48" s="305"/>
      <c r="W48" s="306"/>
      <c r="Y48" s="315"/>
      <c r="Z48" s="28" t="s">
        <v>169</v>
      </c>
      <c r="AA48" s="307" t="s">
        <v>170</v>
      </c>
      <c r="AB48" s="308"/>
      <c r="AC48" s="28" t="s">
        <v>169</v>
      </c>
      <c r="AD48" s="307" t="s">
        <v>171</v>
      </c>
      <c r="AE48" s="308"/>
      <c r="AF48" s="28" t="s">
        <v>169</v>
      </c>
      <c r="AG48" s="309" t="s">
        <v>172</v>
      </c>
      <c r="AH48" s="309"/>
      <c r="AI48" s="310"/>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W10"/>
    <mergeCell ref="Z10:AD10"/>
    <mergeCell ref="AE10:AG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W23"/>
    <mergeCell ref="Y23:Y24"/>
    <mergeCell ref="B21:K21"/>
    <mergeCell ref="M21:M22"/>
    <mergeCell ref="N21:W21"/>
    <mergeCell ref="Y21:Y22"/>
    <mergeCell ref="Z23:AD23"/>
    <mergeCell ref="AE23:AI23"/>
    <mergeCell ref="B24:K24"/>
    <mergeCell ref="N24:W24"/>
    <mergeCell ref="Z24:AD24"/>
    <mergeCell ref="AE24:AI24"/>
    <mergeCell ref="AF21:AI21"/>
    <mergeCell ref="N22:W22"/>
    <mergeCell ref="Z22:AB22"/>
    <mergeCell ref="AC22:AI22"/>
    <mergeCell ref="Z21:AB21"/>
    <mergeCell ref="AC21:AE21"/>
    <mergeCell ref="A25:A30"/>
    <mergeCell ref="B25:D26"/>
    <mergeCell ref="E25:G25"/>
    <mergeCell ref="H25:K25"/>
    <mergeCell ref="M25:M30"/>
    <mergeCell ref="N25:P26"/>
    <mergeCell ref="B27:D28"/>
    <mergeCell ref="E27:G27"/>
    <mergeCell ref="H27:K27"/>
    <mergeCell ref="N27:P28"/>
    <mergeCell ref="Q25:W25"/>
    <mergeCell ref="Y25:Y30"/>
    <mergeCell ref="Z25:AB26"/>
    <mergeCell ref="AC25:AE25"/>
    <mergeCell ref="AF25:AI25"/>
    <mergeCell ref="E26:G26"/>
    <mergeCell ref="H26:K26"/>
    <mergeCell ref="Q26:W26"/>
    <mergeCell ref="AC26:AE26"/>
    <mergeCell ref="AF26:AI26"/>
    <mergeCell ref="Q27:W27"/>
    <mergeCell ref="Z27:AB28"/>
    <mergeCell ref="AC27:AE27"/>
    <mergeCell ref="AF27:AI27"/>
    <mergeCell ref="E28:G28"/>
    <mergeCell ref="H28:K28"/>
    <mergeCell ref="Q28:W28"/>
    <mergeCell ref="AC28:AE28"/>
    <mergeCell ref="AF28:AI28"/>
    <mergeCell ref="AC29:AE29"/>
    <mergeCell ref="AF29:AI29"/>
    <mergeCell ref="E30:G30"/>
    <mergeCell ref="H30:K30"/>
    <mergeCell ref="Q30:W30"/>
    <mergeCell ref="AC30:AE30"/>
    <mergeCell ref="AF30:AI30"/>
    <mergeCell ref="B29:D30"/>
    <mergeCell ref="E29:G29"/>
    <mergeCell ref="H29:K29"/>
    <mergeCell ref="N29:P30"/>
    <mergeCell ref="Q29:W29"/>
    <mergeCell ref="Z29:AB30"/>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s>
  <printOptions horizontalCentered="1" verticalCentered="1"/>
  <pageMargins left="0.11811023622047245" right="0.31496062992125984" top="0.59055118110236227" bottom="0.59055118110236227" header="0.31496062992125984" footer="0.11811023622047245"/>
  <pageSetup paperSize="9"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96322-8947-41B8-8D8E-1A2B16034D65}">
  <sheetPr>
    <pageSetUpPr fitToPage="1"/>
  </sheetPr>
  <dimension ref="C1:V238"/>
  <sheetViews>
    <sheetView showGridLines="0" tabSelected="1" zoomScale="58" zoomScaleNormal="58" workbookViewId="0">
      <selection activeCell="AB40" sqref="AB40:AD40"/>
    </sheetView>
  </sheetViews>
  <sheetFormatPr defaultRowHeight="12.75" outlineLevelRow="1"/>
  <cols>
    <col min="1" max="2" width="9.140625" style="40"/>
    <col min="3" max="3" width="9.42578125" style="38" customWidth="1"/>
    <col min="4" max="4" width="76.140625" style="40" customWidth="1"/>
    <col min="5" max="5" width="18.140625" style="40" customWidth="1"/>
    <col min="6" max="6" width="16.42578125" style="40" customWidth="1"/>
    <col min="7" max="7" width="21.42578125" style="40" customWidth="1"/>
    <col min="8" max="8" width="16.140625" style="40" customWidth="1"/>
    <col min="9" max="9" width="17.85546875" style="40" customWidth="1"/>
    <col min="10" max="10" width="18.140625" style="40" customWidth="1"/>
    <col min="11" max="11" width="13.42578125" style="40" customWidth="1"/>
    <col min="12" max="12" width="14.42578125" style="40" customWidth="1"/>
    <col min="13" max="13" width="23.140625" style="40" customWidth="1"/>
    <col min="14" max="14" width="23.42578125" style="40" customWidth="1"/>
    <col min="15" max="15" width="9.140625" style="40"/>
    <col min="16" max="16" width="10.42578125" style="40" bestFit="1" customWidth="1"/>
    <col min="17" max="17" width="9.140625" style="40"/>
    <col min="18" max="18" width="46.28515625" style="40"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185</v>
      </c>
      <c r="Q1" s="41">
        <f>[39]Input1!I2</f>
        <v>10000</v>
      </c>
    </row>
    <row r="2" spans="3:17" ht="30.75">
      <c r="D2" s="637" t="s">
        <v>186</v>
      </c>
      <c r="E2" s="637"/>
      <c r="F2" s="637"/>
      <c r="G2" s="637"/>
      <c r="H2" s="637"/>
      <c r="I2" s="637"/>
      <c r="J2" s="637"/>
      <c r="K2" s="637"/>
      <c r="L2" s="637"/>
      <c r="M2" s="637"/>
      <c r="N2" s="637"/>
    </row>
    <row r="3" spans="3:17" ht="33" customHeight="1" thickBot="1">
      <c r="D3" s="638" t="s">
        <v>187</v>
      </c>
      <c r="E3" s="638"/>
      <c r="F3" s="638"/>
      <c r="G3" s="638"/>
      <c r="H3" s="638"/>
      <c r="I3" s="638"/>
      <c r="J3" s="638"/>
      <c r="K3" s="638"/>
      <c r="L3" s="638"/>
      <c r="M3" s="638"/>
      <c r="N3" s="638"/>
    </row>
    <row r="4" spans="3:17" ht="34.5" customHeight="1" thickTop="1" thickBot="1">
      <c r="C4" s="466">
        <v>1</v>
      </c>
      <c r="D4" s="467" t="s">
        <v>188</v>
      </c>
      <c r="E4" s="468"/>
      <c r="F4" s="468"/>
      <c r="G4" s="468"/>
      <c r="H4" s="468"/>
      <c r="I4" s="468"/>
      <c r="J4" s="468"/>
      <c r="K4" s="468"/>
      <c r="L4" s="468"/>
      <c r="M4" s="468"/>
      <c r="N4" s="469"/>
    </row>
    <row r="5" spans="3:17" ht="57.75" customHeight="1" thickTop="1" thickBot="1">
      <c r="C5" s="466"/>
      <c r="D5" s="42" t="s">
        <v>14</v>
      </c>
      <c r="E5" s="639" t="s">
        <v>189</v>
      </c>
      <c r="F5" s="639"/>
      <c r="G5" s="639"/>
      <c r="H5" s="639"/>
      <c r="I5" s="639"/>
      <c r="J5" s="639"/>
      <c r="K5" s="639"/>
      <c r="L5" s="639"/>
      <c r="M5" s="639"/>
      <c r="N5" s="640"/>
    </row>
    <row r="6" spans="3:17" ht="21.75" customHeight="1" thickTop="1" thickBot="1">
      <c r="C6" s="466"/>
      <c r="D6" s="43" t="s">
        <v>190</v>
      </c>
      <c r="E6" s="641">
        <f>E166</f>
        <v>7365322.7255111439</v>
      </c>
      <c r="F6" s="641"/>
      <c r="G6" s="641"/>
      <c r="H6" s="641"/>
      <c r="I6" s="641"/>
      <c r="J6" s="641"/>
      <c r="K6" s="641"/>
      <c r="L6" s="641"/>
      <c r="M6" s="641"/>
      <c r="N6" s="642"/>
    </row>
    <row r="7" spans="3:17" ht="21.75" customHeight="1" thickTop="1" thickBot="1">
      <c r="C7" s="466"/>
      <c r="D7" s="43" t="s">
        <v>191</v>
      </c>
      <c r="E7" s="641">
        <f>E41</f>
        <v>21135905.459573649</v>
      </c>
      <c r="F7" s="641"/>
      <c r="G7" s="641"/>
      <c r="H7" s="641"/>
      <c r="I7" s="641"/>
      <c r="J7" s="641"/>
      <c r="K7" s="641"/>
      <c r="L7" s="641"/>
      <c r="M7" s="641"/>
      <c r="N7" s="642"/>
    </row>
    <row r="8" spans="3:17" ht="16.5" customHeight="1" thickTop="1" thickBot="1">
      <c r="C8" s="466"/>
      <c r="D8" s="43" t="s">
        <v>192</v>
      </c>
      <c r="E8" s="641">
        <f>E59</f>
        <v>32722333.499999996</v>
      </c>
      <c r="F8" s="641"/>
      <c r="G8" s="641"/>
      <c r="H8" s="641"/>
      <c r="I8" s="641"/>
      <c r="J8" s="641"/>
      <c r="K8" s="641"/>
      <c r="L8" s="641"/>
      <c r="M8" s="641"/>
      <c r="N8" s="642"/>
    </row>
    <row r="9" spans="3:17" ht="16.5" customHeight="1" thickTop="1" thickBot="1">
      <c r="C9" s="466"/>
      <c r="D9" s="43" t="str">
        <f>D206</f>
        <v>Срок окупаемости (DPP) (месяц)</v>
      </c>
      <c r="E9" s="414">
        <f>E206</f>
        <v>46.719602563436339</v>
      </c>
      <c r="F9" s="414"/>
      <c r="G9" s="414"/>
      <c r="H9" s="414"/>
      <c r="I9" s="414"/>
      <c r="J9" s="414"/>
      <c r="K9" s="414"/>
      <c r="L9" s="414"/>
      <c r="M9" s="414"/>
      <c r="N9" s="415"/>
    </row>
    <row r="10" spans="3:17" ht="29.25" customHeight="1" thickTop="1" thickBot="1">
      <c r="C10" s="466"/>
      <c r="D10" s="44" t="s">
        <v>193</v>
      </c>
      <c r="E10" s="619" t="s">
        <v>194</v>
      </c>
      <c r="F10" s="619"/>
      <c r="G10" s="619"/>
      <c r="H10" s="619"/>
      <c r="I10" s="619"/>
      <c r="J10" s="619"/>
      <c r="K10" s="619"/>
      <c r="L10" s="619"/>
      <c r="M10" s="619"/>
      <c r="N10" s="620"/>
    </row>
    <row r="11" spans="3:17" ht="29.25" hidden="1" customHeight="1" outlineLevel="1" thickTop="1" thickBot="1">
      <c r="C11" s="466"/>
      <c r="D11" s="45" t="s">
        <v>195</v>
      </c>
      <c r="E11" s="633" t="s">
        <v>196</v>
      </c>
      <c r="F11" s="633"/>
      <c r="G11" s="633"/>
      <c r="H11" s="633"/>
      <c r="I11" s="633"/>
      <c r="J11" s="633"/>
      <c r="K11" s="633"/>
      <c r="L11" s="633"/>
      <c r="M11" s="633"/>
      <c r="N11" s="634"/>
    </row>
    <row r="12" spans="3:17" ht="48.75" hidden="1" customHeight="1" outlineLevel="1" thickTop="1" thickBot="1">
      <c r="C12" s="466"/>
      <c r="D12" s="43" t="s">
        <v>197</v>
      </c>
      <c r="E12" s="431" t="s">
        <v>194</v>
      </c>
      <c r="F12" s="431"/>
      <c r="G12" s="431"/>
      <c r="H12" s="431"/>
      <c r="I12" s="431"/>
      <c r="J12" s="431"/>
      <c r="K12" s="431"/>
      <c r="L12" s="431"/>
      <c r="M12" s="431"/>
      <c r="N12" s="432"/>
    </row>
    <row r="13" spans="3:17" ht="54.75" hidden="1" customHeight="1" outlineLevel="1" thickTop="1" thickBot="1">
      <c r="C13" s="466"/>
      <c r="D13" s="43" t="s">
        <v>198</v>
      </c>
      <c r="E13" s="431" t="s">
        <v>194</v>
      </c>
      <c r="F13" s="431"/>
      <c r="G13" s="431"/>
      <c r="H13" s="431"/>
      <c r="I13" s="431"/>
      <c r="J13" s="431"/>
      <c r="K13" s="431"/>
      <c r="L13" s="431"/>
      <c r="M13" s="431"/>
      <c r="N13" s="432"/>
    </row>
    <row r="14" spans="3:17" ht="54.75" hidden="1" customHeight="1" outlineLevel="1" thickTop="1" thickBot="1">
      <c r="C14" s="466"/>
      <c r="D14" s="43" t="s">
        <v>199</v>
      </c>
      <c r="E14" s="431" t="s">
        <v>194</v>
      </c>
      <c r="F14" s="431"/>
      <c r="G14" s="431"/>
      <c r="H14" s="431"/>
      <c r="I14" s="431"/>
      <c r="J14" s="431"/>
      <c r="K14" s="431"/>
      <c r="L14" s="431"/>
      <c r="M14" s="431"/>
      <c r="N14" s="432"/>
    </row>
    <row r="15" spans="3:17" ht="42" hidden="1" customHeight="1" outlineLevel="1" thickTop="1" thickBot="1">
      <c r="C15" s="466"/>
      <c r="D15" s="46" t="s">
        <v>200</v>
      </c>
      <c r="E15" s="431" t="s">
        <v>194</v>
      </c>
      <c r="F15" s="431"/>
      <c r="G15" s="431"/>
      <c r="H15" s="431"/>
      <c r="I15" s="431"/>
      <c r="J15" s="431"/>
      <c r="K15" s="431"/>
      <c r="L15" s="431"/>
      <c r="M15" s="431"/>
      <c r="N15" s="432"/>
    </row>
    <row r="16" spans="3:17" ht="30" hidden="1" customHeight="1" outlineLevel="1" thickTop="1" thickBot="1">
      <c r="C16" s="466"/>
      <c r="D16" s="47" t="s">
        <v>201</v>
      </c>
      <c r="E16" s="635" t="s">
        <v>194</v>
      </c>
      <c r="F16" s="635"/>
      <c r="G16" s="635"/>
      <c r="H16" s="635"/>
      <c r="I16" s="635"/>
      <c r="J16" s="635"/>
      <c r="K16" s="635"/>
      <c r="L16" s="635"/>
      <c r="M16" s="635"/>
      <c r="N16" s="636"/>
    </row>
    <row r="17" spans="3:22" ht="24.75" hidden="1" customHeight="1" outlineLevel="1" thickTop="1" thickBot="1">
      <c r="C17" s="466"/>
      <c r="D17" s="48" t="s">
        <v>202</v>
      </c>
      <c r="E17" s="631" t="s">
        <v>203</v>
      </c>
      <c r="F17" s="631"/>
      <c r="G17" s="631"/>
      <c r="H17" s="631"/>
      <c r="I17" s="631"/>
      <c r="J17" s="631"/>
      <c r="K17" s="631"/>
      <c r="L17" s="631"/>
      <c r="M17" s="631"/>
      <c r="N17" s="632"/>
    </row>
    <row r="18" spans="3:22" ht="42" hidden="1" customHeight="1" outlineLevel="1" thickTop="1" thickBot="1">
      <c r="C18" s="466"/>
      <c r="D18" s="43" t="s">
        <v>197</v>
      </c>
      <c r="E18" s="431" t="s">
        <v>194</v>
      </c>
      <c r="F18" s="431"/>
      <c r="G18" s="431"/>
      <c r="H18" s="431"/>
      <c r="I18" s="431"/>
      <c r="J18" s="431"/>
      <c r="K18" s="431"/>
      <c r="L18" s="431"/>
      <c r="M18" s="431"/>
      <c r="N18" s="432"/>
    </row>
    <row r="19" spans="3:22" ht="49.5" hidden="1" customHeight="1" outlineLevel="1" thickTop="1" thickBot="1">
      <c r="C19" s="466"/>
      <c r="D19" s="43" t="s">
        <v>198</v>
      </c>
      <c r="E19" s="431" t="s">
        <v>194</v>
      </c>
      <c r="F19" s="431"/>
      <c r="G19" s="431"/>
      <c r="H19" s="431"/>
      <c r="I19" s="431"/>
      <c r="J19" s="431"/>
      <c r="K19" s="431"/>
      <c r="L19" s="431"/>
      <c r="M19" s="431"/>
      <c r="N19" s="432"/>
    </row>
    <row r="20" spans="3:22" ht="55.5" hidden="1" customHeight="1" outlineLevel="1" thickTop="1" thickBot="1">
      <c r="C20" s="466"/>
      <c r="D20" s="43" t="s">
        <v>199</v>
      </c>
      <c r="E20" s="431" t="s">
        <v>194</v>
      </c>
      <c r="F20" s="431"/>
      <c r="G20" s="431"/>
      <c r="H20" s="431"/>
      <c r="I20" s="431"/>
      <c r="J20" s="431"/>
      <c r="K20" s="431"/>
      <c r="L20" s="431"/>
      <c r="M20" s="431"/>
      <c r="N20" s="432"/>
    </row>
    <row r="21" spans="3:22" ht="39" hidden="1" customHeight="1" outlineLevel="1" thickTop="1" thickBot="1">
      <c r="C21" s="466"/>
      <c r="D21" s="46" t="s">
        <v>200</v>
      </c>
      <c r="E21" s="431" t="s">
        <v>194</v>
      </c>
      <c r="F21" s="431"/>
      <c r="G21" s="431"/>
      <c r="H21" s="431"/>
      <c r="I21" s="431"/>
      <c r="J21" s="431"/>
      <c r="K21" s="431"/>
      <c r="L21" s="431"/>
      <c r="M21" s="431"/>
      <c r="N21" s="432"/>
    </row>
    <row r="22" spans="3:22" ht="37.5" hidden="1" customHeight="1" outlineLevel="1" thickTop="1" thickBot="1">
      <c r="C22" s="466"/>
      <c r="D22" s="46" t="s">
        <v>201</v>
      </c>
      <c r="E22" s="431" t="s">
        <v>194</v>
      </c>
      <c r="F22" s="431"/>
      <c r="G22" s="431"/>
      <c r="H22" s="431"/>
      <c r="I22" s="431"/>
      <c r="J22" s="431"/>
      <c r="K22" s="431"/>
      <c r="L22" s="431"/>
      <c r="M22" s="431"/>
      <c r="N22" s="432"/>
    </row>
    <row r="23" spans="3:22" ht="37.5" hidden="1" customHeight="1" outlineLevel="1" thickTop="1" thickBot="1">
      <c r="C23" s="466"/>
      <c r="D23" s="44"/>
      <c r="E23" s="619"/>
      <c r="F23" s="619"/>
      <c r="G23" s="619"/>
      <c r="H23" s="619"/>
      <c r="I23" s="619"/>
      <c r="J23" s="619"/>
      <c r="K23" s="619"/>
      <c r="L23" s="619"/>
      <c r="M23" s="619"/>
      <c r="N23" s="620"/>
    </row>
    <row r="24" spans="3:22" ht="35.25" customHeight="1" collapsed="1" thickTop="1">
      <c r="C24" s="418">
        <v>2</v>
      </c>
      <c r="D24" s="621" t="s">
        <v>204</v>
      </c>
      <c r="E24" s="622"/>
      <c r="F24" s="622"/>
      <c r="G24" s="622"/>
      <c r="H24" s="622"/>
      <c r="I24" s="622"/>
      <c r="J24" s="622"/>
      <c r="K24" s="622"/>
      <c r="L24" s="622"/>
      <c r="M24" s="622"/>
      <c r="N24" s="623"/>
      <c r="P24"/>
    </row>
    <row r="25" spans="3:22" ht="21" customHeight="1">
      <c r="C25" s="419"/>
      <c r="D25" s="624" t="s">
        <v>205</v>
      </c>
      <c r="E25" s="625"/>
      <c r="F25" s="625"/>
      <c r="G25" s="625"/>
      <c r="H25" s="625"/>
      <c r="I25" s="625"/>
      <c r="J25" s="625"/>
      <c r="K25" s="625"/>
      <c r="L25" s="625"/>
      <c r="M25" s="625"/>
      <c r="N25" s="626"/>
    </row>
    <row r="26" spans="3:22" ht="70.5" customHeight="1">
      <c r="C26" s="419"/>
      <c r="D26" s="49" t="s">
        <v>206</v>
      </c>
      <c r="E26" s="627" t="s">
        <v>207</v>
      </c>
      <c r="F26" s="628"/>
      <c r="G26" s="629"/>
      <c r="H26" s="627" t="s">
        <v>208</v>
      </c>
      <c r="I26" s="628"/>
      <c r="J26" s="629"/>
      <c r="K26" s="627" t="s">
        <v>209</v>
      </c>
      <c r="L26" s="628"/>
      <c r="M26" s="628"/>
      <c r="N26" s="630"/>
    </row>
    <row r="27" spans="3:22" ht="183.75" customHeight="1">
      <c r="C27" s="419"/>
      <c r="D27" s="43" t="s">
        <v>210</v>
      </c>
      <c r="E27" s="501"/>
      <c r="F27" s="502"/>
      <c r="G27" s="503"/>
      <c r="H27" s="501"/>
      <c r="I27" s="502"/>
      <c r="J27" s="503"/>
      <c r="K27" s="501"/>
      <c r="L27" s="502"/>
      <c r="M27" s="502"/>
      <c r="N27" s="504"/>
      <c r="S27"/>
    </row>
    <row r="28" spans="3:22" ht="409.6" customHeight="1">
      <c r="C28" s="419"/>
      <c r="D28" s="599" t="s">
        <v>211</v>
      </c>
      <c r="E28" s="613" t="s">
        <v>212</v>
      </c>
      <c r="F28" s="614"/>
      <c r="G28" s="614"/>
      <c r="H28" s="614"/>
      <c r="I28" s="614"/>
      <c r="J28" s="614"/>
      <c r="K28" s="614"/>
      <c r="L28" s="614"/>
      <c r="M28" s="614"/>
      <c r="N28" s="615"/>
      <c r="V28"/>
    </row>
    <row r="29" spans="3:22" ht="90" hidden="1" customHeight="1" thickTop="1" thickBot="1">
      <c r="C29" s="419"/>
      <c r="D29" s="611"/>
      <c r="E29" s="616"/>
      <c r="F29" s="617"/>
      <c r="G29" s="617"/>
      <c r="H29" s="617"/>
      <c r="I29" s="617"/>
      <c r="J29" s="617"/>
      <c r="K29" s="617"/>
      <c r="L29" s="617"/>
      <c r="M29" s="617"/>
      <c r="N29" s="618"/>
      <c r="U29" s="50"/>
    </row>
    <row r="30" spans="3:22" ht="156" hidden="1" customHeight="1" thickTop="1" thickBot="1">
      <c r="C30" s="419"/>
      <c r="D30" s="611"/>
      <c r="E30" s="616"/>
      <c r="F30" s="617"/>
      <c r="G30" s="617"/>
      <c r="H30" s="617"/>
      <c r="I30" s="617"/>
      <c r="J30" s="617"/>
      <c r="K30" s="617"/>
      <c r="L30" s="617"/>
      <c r="M30" s="617"/>
      <c r="N30" s="618"/>
    </row>
    <row r="31" spans="3:22" ht="25.5" hidden="1" customHeight="1">
      <c r="C31" s="419"/>
      <c r="D31" s="612"/>
      <c r="E31" s="616"/>
      <c r="F31" s="617"/>
      <c r="G31" s="617"/>
      <c r="H31" s="617"/>
      <c r="I31" s="617"/>
      <c r="J31" s="617"/>
      <c r="K31" s="617"/>
      <c r="L31" s="617"/>
      <c r="M31" s="617"/>
      <c r="N31" s="618"/>
    </row>
    <row r="32" spans="3:22" ht="45.75" customHeight="1">
      <c r="C32" s="419"/>
      <c r="D32" s="46" t="s">
        <v>213</v>
      </c>
      <c r="E32" s="498" t="s">
        <v>214</v>
      </c>
      <c r="F32" s="499"/>
      <c r="G32" s="499"/>
      <c r="H32" s="499"/>
      <c r="I32" s="499"/>
      <c r="J32" s="499"/>
      <c r="K32" s="499"/>
      <c r="L32" s="499"/>
      <c r="M32" s="499"/>
      <c r="N32" s="505"/>
    </row>
    <row r="33" spans="3:19" ht="280.5" customHeight="1">
      <c r="C33" s="419"/>
      <c r="D33" s="46" t="s">
        <v>215</v>
      </c>
      <c r="E33" s="498" t="s">
        <v>216</v>
      </c>
      <c r="F33" s="499"/>
      <c r="G33" s="499"/>
      <c r="H33" s="499"/>
      <c r="I33" s="499"/>
      <c r="J33" s="499"/>
      <c r="K33" s="499"/>
      <c r="L33" s="499"/>
      <c r="M33" s="499"/>
      <c r="N33" s="505"/>
    </row>
    <row r="34" spans="3:19" ht="59.25" customHeight="1">
      <c r="C34" s="419"/>
      <c r="D34" s="46" t="s">
        <v>217</v>
      </c>
      <c r="E34" s="604" t="s">
        <v>218</v>
      </c>
      <c r="F34" s="605"/>
      <c r="G34" s="605"/>
      <c r="H34" s="605"/>
      <c r="I34" s="605"/>
      <c r="J34" s="605"/>
      <c r="K34" s="605"/>
      <c r="L34" s="605"/>
      <c r="M34" s="605"/>
      <c r="N34" s="606"/>
    </row>
    <row r="35" spans="3:19" ht="35.25" hidden="1" customHeight="1" outlineLevel="1">
      <c r="C35" s="419"/>
      <c r="D35" s="46" t="s">
        <v>219</v>
      </c>
      <c r="E35" s="498"/>
      <c r="F35" s="499"/>
      <c r="G35" s="499"/>
      <c r="H35" s="499"/>
      <c r="I35" s="499"/>
      <c r="J35" s="499"/>
      <c r="K35" s="499"/>
      <c r="L35" s="499"/>
      <c r="M35" s="499"/>
      <c r="N35" s="505"/>
    </row>
    <row r="36" spans="3:19" ht="63.75" customHeight="1" collapsed="1">
      <c r="C36" s="419"/>
      <c r="D36" s="49" t="s">
        <v>220</v>
      </c>
      <c r="E36" s="498" t="s">
        <v>221</v>
      </c>
      <c r="F36" s="499"/>
      <c r="G36" s="499"/>
      <c r="H36" s="499"/>
      <c r="I36" s="499"/>
      <c r="J36" s="499"/>
      <c r="K36" s="499"/>
      <c r="L36" s="499"/>
      <c r="M36" s="499"/>
      <c r="N36" s="505"/>
      <c r="P36" s="51">
        <f>E39+I39+M39</f>
        <v>5470.4</v>
      </c>
      <c r="R36" s="52">
        <f>(100*135)/10414</f>
        <v>1.2963318609564047</v>
      </c>
    </row>
    <row r="37" spans="3:19" ht="48.75" customHeight="1">
      <c r="C37" s="419"/>
      <c r="D37" s="49" t="s">
        <v>222</v>
      </c>
      <c r="E37" s="607">
        <f>'[39]База данных'!L373+'[39]База данных'!K406</f>
        <v>5.4304493950451311</v>
      </c>
      <c r="F37" s="608"/>
      <c r="G37" s="608"/>
      <c r="H37" s="609"/>
      <c r="I37" s="607">
        <f>'[39]База данных'!K437</f>
        <v>0.99793931246399081</v>
      </c>
      <c r="J37" s="608"/>
      <c r="K37" s="608"/>
      <c r="L37" s="609"/>
      <c r="M37" s="607">
        <f>'[39]База данных'!M475+'[39]База данных'!J503</f>
        <v>2.3204340311119647</v>
      </c>
      <c r="N37" s="610"/>
      <c r="P37" s="53">
        <f>(E37+I37+M37)/3</f>
        <v>2.916274246207029</v>
      </c>
    </row>
    <row r="38" spans="3:19" ht="35.25" customHeight="1">
      <c r="C38" s="419"/>
      <c r="D38" s="49" t="str">
        <f>D39</f>
        <v>Проектная мощность , тонн/год</v>
      </c>
      <c r="E38" s="445">
        <f>SUM(E39:N39)</f>
        <v>5470.4</v>
      </c>
      <c r="F38" s="451"/>
      <c r="G38" s="451"/>
      <c r="H38" s="451"/>
      <c r="I38" s="451"/>
      <c r="J38" s="451"/>
      <c r="K38" s="451"/>
      <c r="L38" s="451"/>
      <c r="M38" s="451"/>
      <c r="N38" s="452"/>
    </row>
    <row r="39" spans="3:19" ht="34.5" customHeight="1">
      <c r="C39" s="419"/>
      <c r="D39" s="49" t="s">
        <v>223</v>
      </c>
      <c r="E39" s="435">
        <f>(('[39]База данных'!BB12+2.5)*260)</f>
        <v>2730</v>
      </c>
      <c r="F39" s="437"/>
      <c r="G39" s="437"/>
      <c r="H39" s="436"/>
      <c r="I39" s="435">
        <f>'[39]База данных'!Y50*260</f>
        <v>36.400000000000006</v>
      </c>
      <c r="J39" s="437"/>
      <c r="K39" s="437"/>
      <c r="L39" s="436"/>
      <c r="M39" s="435">
        <f>('[39]База данных'!F7+'[39]База данных'!F8)/1000*16*260</f>
        <v>2704</v>
      </c>
      <c r="N39" s="438"/>
      <c r="P39" s="54">
        <f>M39*50%</f>
        <v>1352</v>
      </c>
    </row>
    <row r="40" spans="3:19" ht="24.75" customHeight="1">
      <c r="C40" s="419"/>
      <c r="D40" s="599" t="s">
        <v>224</v>
      </c>
      <c r="E40" s="435">
        <f>E39*E37*1000</f>
        <v>14825126.848473208</v>
      </c>
      <c r="F40" s="437"/>
      <c r="G40" s="437"/>
      <c r="H40" s="437"/>
      <c r="I40" s="437">
        <f>I39*I37*1000</f>
        <v>36324.990973689273</v>
      </c>
      <c r="J40" s="437"/>
      <c r="K40" s="437"/>
      <c r="L40" s="437"/>
      <c r="M40" s="437">
        <f>M39*M37*1000</f>
        <v>6274453.6201267531</v>
      </c>
      <c r="N40" s="438"/>
      <c r="R40" s="55">
        <f>9990/10414</f>
        <v>0.95928557710773954</v>
      </c>
    </row>
    <row r="41" spans="3:19" ht="23.25" customHeight="1" thickBot="1">
      <c r="C41" s="420"/>
      <c r="D41" s="600"/>
      <c r="E41" s="601">
        <f>SUM(E40:N40)</f>
        <v>21135905.459573649</v>
      </c>
      <c r="F41" s="602"/>
      <c r="G41" s="602"/>
      <c r="H41" s="602"/>
      <c r="I41" s="602"/>
      <c r="J41" s="602"/>
      <c r="K41" s="602"/>
      <c r="L41" s="602"/>
      <c r="M41" s="602"/>
      <c r="N41" s="603"/>
      <c r="P41" s="55">
        <f>0.5*16*260</f>
        <v>2080</v>
      </c>
      <c r="Q41" s="56">
        <f>P41/M39</f>
        <v>0.76923076923076927</v>
      </c>
    </row>
    <row r="42" spans="3:19" ht="34.5" customHeight="1" thickTop="1" thickBot="1">
      <c r="C42" s="466">
        <v>3</v>
      </c>
      <c r="D42" s="467" t="s">
        <v>225</v>
      </c>
      <c r="E42" s="468"/>
      <c r="F42" s="468"/>
      <c r="G42" s="468"/>
      <c r="H42" s="468"/>
      <c r="I42" s="468"/>
      <c r="J42" s="468"/>
      <c r="K42" s="468"/>
      <c r="L42" s="468"/>
      <c r="M42" s="468"/>
      <c r="N42" s="469"/>
      <c r="P42" s="57">
        <f>0.15*16*260</f>
        <v>624</v>
      </c>
      <c r="Q42" s="56">
        <f>P42/M39</f>
        <v>0.23076923076923078</v>
      </c>
    </row>
    <row r="43" spans="3:19" ht="24.75" customHeight="1" thickTop="1" thickBot="1">
      <c r="C43" s="466"/>
      <c r="D43" s="579" t="s">
        <v>123</v>
      </c>
      <c r="E43" s="580"/>
      <c r="F43" s="580"/>
      <c r="G43" s="580"/>
      <c r="H43" s="580"/>
      <c r="I43" s="580"/>
      <c r="J43" s="580"/>
      <c r="K43" s="580"/>
      <c r="L43" s="580"/>
      <c r="M43" s="580"/>
      <c r="N43" s="581"/>
    </row>
    <row r="44" spans="3:19" ht="24.75" customHeight="1" thickTop="1" thickBot="1">
      <c r="C44" s="466"/>
      <c r="D44" s="582" t="s">
        <v>226</v>
      </c>
      <c r="E44" s="481"/>
      <c r="F44" s="481"/>
      <c r="G44" s="481"/>
      <c r="H44" s="481"/>
      <c r="I44" s="481"/>
      <c r="J44" s="481"/>
      <c r="K44" s="481"/>
      <c r="L44" s="481"/>
      <c r="M44" s="481"/>
      <c r="N44" s="482"/>
    </row>
    <row r="45" spans="3:19" ht="32.25" customHeight="1" thickTop="1" thickBot="1">
      <c r="C45" s="466"/>
      <c r="D45" s="49" t="s">
        <v>227</v>
      </c>
      <c r="E45" s="459" t="s">
        <v>228</v>
      </c>
      <c r="F45" s="459"/>
      <c r="G45" s="459"/>
      <c r="H45" s="459"/>
      <c r="I45" s="459"/>
      <c r="J45" s="459"/>
      <c r="K45" s="459"/>
      <c r="L45" s="459"/>
      <c r="M45" s="459"/>
      <c r="N45" s="460"/>
      <c r="P45" s="57">
        <f>P42*25%</f>
        <v>156</v>
      </c>
    </row>
    <row r="46" spans="3:19" ht="34.5" customHeight="1" thickTop="1" thickBot="1">
      <c r="C46" s="466"/>
      <c r="D46" s="49" t="s">
        <v>229</v>
      </c>
      <c r="E46" s="492" t="s">
        <v>230</v>
      </c>
      <c r="F46" s="492"/>
      <c r="G46" s="492"/>
      <c r="H46" s="492"/>
      <c r="I46" s="492"/>
      <c r="J46" s="492"/>
      <c r="K46" s="492"/>
      <c r="L46" s="492"/>
      <c r="M46" s="492"/>
      <c r="N46" s="493"/>
      <c r="S46" s="58"/>
    </row>
    <row r="47" spans="3:19" ht="38.25" customHeight="1" thickTop="1" thickBot="1">
      <c r="C47" s="466"/>
      <c r="D47" s="49" t="s">
        <v>231</v>
      </c>
      <c r="E47" s="590">
        <f>15000000*'[39]База данных'!Q85*365</f>
        <v>1149750</v>
      </c>
      <c r="F47" s="591"/>
      <c r="G47" s="591"/>
      <c r="H47" s="591"/>
      <c r="I47" s="591"/>
      <c r="J47" s="591"/>
      <c r="K47" s="591"/>
      <c r="L47" s="591"/>
      <c r="M47" s="591"/>
      <c r="N47" s="592"/>
      <c r="P47" s="55">
        <f>2.5*260</f>
        <v>650</v>
      </c>
    </row>
    <row r="48" spans="3:19" ht="38.25" hidden="1" customHeight="1" thickTop="1" thickBot="1">
      <c r="C48" s="466"/>
      <c r="D48" s="46" t="s">
        <v>232</v>
      </c>
      <c r="E48" s="593"/>
      <c r="F48" s="594"/>
      <c r="G48" s="594"/>
      <c r="H48" s="594"/>
      <c r="I48" s="594"/>
      <c r="J48" s="594"/>
      <c r="K48" s="594"/>
      <c r="L48" s="594"/>
      <c r="M48" s="594"/>
      <c r="N48" s="595"/>
    </row>
    <row r="49" spans="3:19" ht="47.25" hidden="1" customHeight="1" outlineLevel="1" thickTop="1" thickBot="1">
      <c r="C49" s="466"/>
      <c r="D49" s="46" t="s">
        <v>233</v>
      </c>
      <c r="E49" s="596">
        <f>'[39]База данных'!F102</f>
        <v>58.03</v>
      </c>
      <c r="F49" s="597"/>
      <c r="G49" s="597"/>
      <c r="H49" s="597"/>
      <c r="I49" s="597"/>
      <c r="J49" s="597"/>
      <c r="K49" s="597"/>
      <c r="L49" s="597"/>
      <c r="M49" s="597"/>
      <c r="N49" s="598"/>
    </row>
    <row r="50" spans="3:19" ht="36" customHeight="1" collapsed="1" thickTop="1" thickBot="1">
      <c r="C50" s="466"/>
      <c r="D50" s="46" t="s">
        <v>234</v>
      </c>
      <c r="E50" s="596">
        <f>'[39]База данных'!G102</f>
        <v>383335</v>
      </c>
      <c r="F50" s="597"/>
      <c r="G50" s="597"/>
      <c r="H50" s="597"/>
      <c r="I50" s="597"/>
      <c r="J50" s="597"/>
      <c r="K50" s="597"/>
      <c r="L50" s="597"/>
      <c r="M50" s="597"/>
      <c r="N50" s="598"/>
    </row>
    <row r="51" spans="3:19" ht="21" customHeight="1" thickTop="1" thickBot="1">
      <c r="C51" s="466"/>
      <c r="D51" s="49" t="s">
        <v>235</v>
      </c>
      <c r="E51" s="583">
        <v>0.1</v>
      </c>
      <c r="F51" s="583"/>
      <c r="G51" s="583"/>
      <c r="H51" s="583"/>
      <c r="I51" s="583"/>
      <c r="J51" s="583"/>
      <c r="K51" s="583"/>
      <c r="L51" s="583"/>
      <c r="M51" s="583"/>
      <c r="N51" s="584"/>
    </row>
    <row r="52" spans="3:19" ht="24.75" customHeight="1" thickTop="1" thickBot="1">
      <c r="C52" s="466"/>
      <c r="D52" s="49" t="s">
        <v>236</v>
      </c>
      <c r="E52" s="585">
        <f>E47*P37*1000</f>
        <v>3352986314.5765319</v>
      </c>
      <c r="F52" s="472"/>
      <c r="G52" s="472"/>
      <c r="H52" s="472"/>
      <c r="I52" s="472"/>
      <c r="J52" s="472"/>
      <c r="K52" s="472"/>
      <c r="L52" s="472"/>
      <c r="M52" s="472"/>
      <c r="N52" s="586"/>
    </row>
    <row r="53" spans="3:19" ht="24.75" hidden="1" customHeight="1" outlineLevel="1" thickTop="1" thickBot="1">
      <c r="C53" s="466"/>
      <c r="D53" s="49" t="s">
        <v>237</v>
      </c>
      <c r="E53" s="472">
        <f>E52*E37*1000</f>
        <v>18208222503586.73</v>
      </c>
      <c r="F53" s="472"/>
      <c r="G53" s="472"/>
      <c r="H53" s="472"/>
      <c r="I53" s="472"/>
      <c r="J53" s="472"/>
      <c r="K53" s="472"/>
      <c r="L53" s="472"/>
      <c r="M53" s="472"/>
      <c r="N53" s="586"/>
    </row>
    <row r="54" spans="3:19" ht="27" customHeight="1" collapsed="1" thickTop="1" thickBot="1">
      <c r="C54" s="466"/>
      <c r="D54" s="567" t="s">
        <v>238</v>
      </c>
      <c r="E54" s="459"/>
      <c r="F54" s="459"/>
      <c r="G54" s="459"/>
      <c r="H54" s="459"/>
      <c r="I54" s="459"/>
      <c r="J54" s="459"/>
      <c r="K54" s="459"/>
      <c r="L54" s="459"/>
      <c r="M54" s="459"/>
      <c r="N54" s="460"/>
    </row>
    <row r="55" spans="3:19" ht="32.25" customHeight="1" thickTop="1" thickBot="1">
      <c r="C55" s="466"/>
      <c r="D55" s="59" t="s">
        <v>239</v>
      </c>
      <c r="E55" s="60"/>
      <c r="F55" s="60">
        <v>2017</v>
      </c>
      <c r="G55" s="60">
        <v>2018</v>
      </c>
      <c r="H55" s="60" t="s">
        <v>240</v>
      </c>
      <c r="I55" s="60"/>
      <c r="J55" s="61"/>
      <c r="K55" s="61"/>
      <c r="L55" s="61"/>
      <c r="M55" s="61"/>
      <c r="N55" s="62"/>
      <c r="S55" s="58"/>
    </row>
    <row r="56" spans="3:19" ht="40.5" customHeight="1" thickTop="1" thickBot="1">
      <c r="C56" s="466"/>
      <c r="D56" s="63" t="s">
        <v>241</v>
      </c>
      <c r="E56" s="61"/>
      <c r="F56" s="64"/>
      <c r="G56" s="64"/>
      <c r="H56" s="64">
        <f>'[39]База данных'!O144</f>
        <v>32684</v>
      </c>
      <c r="I56" s="65"/>
      <c r="J56" s="66"/>
      <c r="K56" s="60"/>
      <c r="L56" s="60"/>
      <c r="M56" s="60"/>
      <c r="N56" s="67"/>
    </row>
    <row r="57" spans="3:19" ht="38.25" customHeight="1" thickTop="1" thickBot="1">
      <c r="C57" s="466"/>
      <c r="D57" s="63" t="s">
        <v>242</v>
      </c>
      <c r="E57" s="64"/>
      <c r="F57" s="64"/>
      <c r="G57" s="64"/>
      <c r="H57" s="64">
        <f>'[39]База данных'!I340</f>
        <v>0</v>
      </c>
      <c r="I57" s="68"/>
      <c r="J57" s="66"/>
      <c r="K57" s="60"/>
      <c r="L57" s="60"/>
      <c r="M57" s="60"/>
      <c r="N57" s="67"/>
    </row>
    <row r="58" spans="3:19" ht="37.5" customHeight="1" thickTop="1" thickBot="1">
      <c r="C58" s="466"/>
      <c r="D58" s="63" t="s">
        <v>243</v>
      </c>
      <c r="E58" s="459" t="s">
        <v>244</v>
      </c>
      <c r="F58" s="459"/>
      <c r="G58" s="459"/>
      <c r="H58" s="459"/>
      <c r="I58" s="459"/>
      <c r="J58" s="459"/>
      <c r="K58" s="459"/>
      <c r="L58" s="459"/>
      <c r="M58" s="459"/>
      <c r="N58" s="460"/>
    </row>
    <row r="59" spans="3:19" ht="37.5" customHeight="1" thickTop="1" thickBot="1">
      <c r="C59" s="466"/>
      <c r="D59" s="69" t="s">
        <v>245</v>
      </c>
      <c r="E59" s="587">
        <f>('[39]База данных'!L154-'[39]База данных'!L340+'[39]База данных'!I103)*1000000</f>
        <v>32722333.499999996</v>
      </c>
      <c r="F59" s="588"/>
      <c r="G59" s="588"/>
      <c r="H59" s="588"/>
      <c r="I59" s="588"/>
      <c r="J59" s="588"/>
      <c r="K59" s="588"/>
      <c r="L59" s="588"/>
      <c r="M59" s="588"/>
      <c r="N59" s="589"/>
    </row>
    <row r="60" spans="3:19" ht="21" customHeight="1" thickTop="1" thickBot="1">
      <c r="C60" s="466"/>
      <c r="D60" s="579" t="s">
        <v>246</v>
      </c>
      <c r="E60" s="580"/>
      <c r="F60" s="580"/>
      <c r="G60" s="580"/>
      <c r="H60" s="580"/>
      <c r="I60" s="580"/>
      <c r="J60" s="580"/>
      <c r="K60" s="580"/>
      <c r="L60" s="580"/>
      <c r="M60" s="580"/>
      <c r="N60" s="581"/>
    </row>
    <row r="61" spans="3:19" ht="21" hidden="1" customHeight="1" thickTop="1" thickBot="1">
      <c r="C61" s="466"/>
      <c r="D61" s="582" t="str">
        <f>D44</f>
        <v>Прогноз физической потребности</v>
      </c>
      <c r="E61" s="481"/>
      <c r="F61" s="481"/>
      <c r="G61" s="481"/>
      <c r="H61" s="481"/>
      <c r="I61" s="481"/>
      <c r="J61" s="481"/>
      <c r="K61" s="481"/>
      <c r="L61" s="481"/>
      <c r="M61" s="481"/>
      <c r="N61" s="482"/>
    </row>
    <row r="62" spans="3:19" ht="24.75" customHeight="1" thickTop="1" thickBot="1">
      <c r="C62" s="466"/>
      <c r="D62" s="49" t="s">
        <v>227</v>
      </c>
      <c r="E62" s="459" t="str">
        <f>E45</f>
        <v>Население от 5лет и старше</v>
      </c>
      <c r="F62" s="459"/>
      <c r="G62" s="459"/>
      <c r="H62" s="459"/>
      <c r="I62" s="459"/>
      <c r="J62" s="459"/>
      <c r="K62" s="459"/>
      <c r="L62" s="459"/>
      <c r="M62" s="459"/>
      <c r="N62" s="460"/>
    </row>
    <row r="63" spans="3:19" ht="24.75" customHeight="1" thickTop="1" thickBot="1">
      <c r="C63" s="466"/>
      <c r="D63" s="49" t="s">
        <v>247</v>
      </c>
      <c r="E63" s="498" t="s">
        <v>248</v>
      </c>
      <c r="F63" s="500"/>
      <c r="G63" s="498" t="s">
        <v>249</v>
      </c>
      <c r="H63" s="500"/>
      <c r="I63" s="498" t="s">
        <v>250</v>
      </c>
      <c r="J63" s="500"/>
      <c r="K63" s="498" t="s">
        <v>251</v>
      </c>
      <c r="L63" s="500"/>
      <c r="M63" s="60" t="s">
        <v>252</v>
      </c>
      <c r="N63" s="62"/>
    </row>
    <row r="64" spans="3:19" ht="29.25" customHeight="1" thickTop="1" thickBot="1">
      <c r="C64" s="466"/>
      <c r="D64" s="49" t="s">
        <v>253</v>
      </c>
      <c r="E64" s="435">
        <f>18000000+5000000+5000000+30000000</f>
        <v>58000000</v>
      </c>
      <c r="F64" s="436"/>
      <c r="G64" s="435">
        <v>146619690</v>
      </c>
      <c r="H64" s="436"/>
      <c r="I64" s="577">
        <v>41874143</v>
      </c>
      <c r="J64" s="578"/>
      <c r="K64" s="515"/>
      <c r="L64" s="518"/>
      <c r="M64" s="70"/>
      <c r="N64" s="71"/>
    </row>
    <row r="65" spans="3:14" ht="24.75" customHeight="1" thickTop="1" thickBot="1">
      <c r="C65" s="466"/>
      <c r="D65" s="46" t="str">
        <f>D47</f>
        <v>Прогноз потребления населением, (тонна)</v>
      </c>
      <c r="E65" s="501">
        <f>'[39]База данных'!Q85</f>
        <v>2.1000000000000001E-4</v>
      </c>
      <c r="F65" s="503"/>
      <c r="G65" s="501">
        <f>E65</f>
        <v>2.1000000000000001E-4</v>
      </c>
      <c r="H65" s="503"/>
      <c r="I65" s="501">
        <f>E65</f>
        <v>2.1000000000000001E-4</v>
      </c>
      <c r="J65" s="503"/>
      <c r="K65" s="515"/>
      <c r="L65" s="518"/>
      <c r="M65" s="61"/>
      <c r="N65" s="62"/>
    </row>
    <row r="66" spans="3:14" ht="36" customHeight="1" thickTop="1" thickBot="1">
      <c r="C66" s="466"/>
      <c r="D66" s="49" t="s">
        <v>254</v>
      </c>
      <c r="E66" s="501"/>
      <c r="F66" s="503"/>
      <c r="G66" s="501"/>
      <c r="H66" s="503"/>
      <c r="I66" s="501"/>
      <c r="J66" s="503"/>
      <c r="K66" s="515"/>
      <c r="L66" s="518"/>
      <c r="M66" s="61"/>
      <c r="N66" s="62"/>
    </row>
    <row r="67" spans="3:14" ht="24.75" customHeight="1" thickTop="1" thickBot="1">
      <c r="C67" s="466"/>
      <c r="D67" s="49" t="s">
        <v>235</v>
      </c>
      <c r="E67" s="575">
        <v>0.05</v>
      </c>
      <c r="F67" s="576"/>
      <c r="G67" s="575">
        <v>0.05</v>
      </c>
      <c r="H67" s="576"/>
      <c r="I67" s="575">
        <v>0.05</v>
      </c>
      <c r="J67" s="576"/>
      <c r="K67" s="515"/>
      <c r="L67" s="518"/>
      <c r="M67" s="61"/>
      <c r="N67" s="62"/>
    </row>
    <row r="68" spans="3:14" ht="24.75" customHeight="1" thickTop="1" thickBot="1">
      <c r="C68" s="466"/>
      <c r="D68" s="49" t="s">
        <v>255</v>
      </c>
      <c r="E68" s="501"/>
      <c r="F68" s="503"/>
      <c r="G68" s="501"/>
      <c r="H68" s="503"/>
      <c r="I68" s="501"/>
      <c r="J68" s="503"/>
      <c r="K68" s="515"/>
      <c r="L68" s="518"/>
      <c r="M68" s="61"/>
      <c r="N68" s="62"/>
    </row>
    <row r="69" spans="3:14" ht="24.75" customHeight="1" thickTop="1" thickBot="1">
      <c r="C69" s="466"/>
      <c r="D69" s="49" t="s">
        <v>237</v>
      </c>
      <c r="E69" s="573">
        <f>E64*E65*$E$37*365</f>
        <v>24142148.87555214</v>
      </c>
      <c r="F69" s="574"/>
      <c r="G69" s="573">
        <f t="shared" ref="G69" si="0">G64*G65*$E$37*365</f>
        <v>61029558.34598799</v>
      </c>
      <c r="H69" s="574"/>
      <c r="I69" s="573">
        <f t="shared" ref="I69" si="1">I64*I65*$E$37*365</f>
        <v>17429858.523140684</v>
      </c>
      <c r="J69" s="574"/>
      <c r="K69" s="435"/>
      <c r="L69" s="436"/>
      <c r="M69" s="72"/>
      <c r="N69" s="73"/>
    </row>
    <row r="70" spans="3:14" ht="24.75" customHeight="1" thickTop="1" thickBot="1">
      <c r="C70" s="466"/>
      <c r="D70" s="49" t="s">
        <v>256</v>
      </c>
      <c r="E70" s="435">
        <f>E69+G69+I69</f>
        <v>102601565.74468081</v>
      </c>
      <c r="F70" s="437"/>
      <c r="G70" s="437"/>
      <c r="H70" s="437"/>
      <c r="I70" s="437"/>
      <c r="J70" s="437"/>
      <c r="K70" s="437"/>
      <c r="L70" s="437"/>
      <c r="M70" s="437"/>
      <c r="N70" s="438"/>
    </row>
    <row r="71" spans="3:14" ht="28.5" customHeight="1" thickTop="1" thickBot="1">
      <c r="C71" s="466"/>
      <c r="D71" s="567" t="s">
        <v>257</v>
      </c>
      <c r="E71" s="459"/>
      <c r="F71" s="459"/>
      <c r="G71" s="459"/>
      <c r="H71" s="459"/>
      <c r="I71" s="459"/>
      <c r="J71" s="459"/>
      <c r="K71" s="459"/>
      <c r="L71" s="459"/>
      <c r="M71" s="459"/>
      <c r="N71" s="460"/>
    </row>
    <row r="72" spans="3:14" ht="28.5" customHeight="1" thickTop="1" thickBot="1">
      <c r="C72" s="466"/>
      <c r="D72" s="59" t="s">
        <v>258</v>
      </c>
      <c r="E72" s="60"/>
      <c r="F72" s="60"/>
      <c r="G72" s="60">
        <v>2018</v>
      </c>
      <c r="H72" s="60">
        <v>2019</v>
      </c>
      <c r="I72" s="60"/>
      <c r="J72" s="61" t="s">
        <v>259</v>
      </c>
      <c r="K72" s="61"/>
      <c r="L72" s="61"/>
      <c r="M72" s="61"/>
      <c r="N72" s="62"/>
    </row>
    <row r="73" spans="3:14" ht="40.5" customHeight="1" thickTop="1" thickBot="1">
      <c r="C73" s="466"/>
      <c r="D73" s="63" t="s">
        <v>260</v>
      </c>
      <c r="E73" s="60"/>
      <c r="F73" s="74"/>
      <c r="G73" s="74">
        <v>8742</v>
      </c>
      <c r="H73" s="75">
        <v>4029</v>
      </c>
      <c r="I73" s="60"/>
      <c r="J73" s="76">
        <f>AVERAGE(F73:H73)</f>
        <v>6385.5</v>
      </c>
      <c r="K73" s="60"/>
      <c r="L73" s="60"/>
      <c r="M73" s="60"/>
      <c r="N73" s="67"/>
    </row>
    <row r="74" spans="3:14" ht="20.25" hidden="1" customHeight="1" thickTop="1" thickBot="1">
      <c r="C74" s="466"/>
      <c r="D74" s="63" t="s">
        <v>261</v>
      </c>
      <c r="F74" s="74"/>
      <c r="G74" s="74">
        <f>'[39]База данных'!H150</f>
        <v>0</v>
      </c>
      <c r="H74" s="74">
        <f>'[39]База данных'!I150</f>
        <v>0</v>
      </c>
      <c r="I74" s="60"/>
      <c r="J74" s="74">
        <f>AVERAGE(F74:H74)</f>
        <v>0</v>
      </c>
      <c r="K74" s="60"/>
      <c r="L74" s="60"/>
      <c r="M74" s="60"/>
      <c r="N74" s="67"/>
    </row>
    <row r="75" spans="3:14" ht="27" customHeight="1" thickTop="1" thickBot="1">
      <c r="C75" s="466"/>
      <c r="D75" s="63" t="s">
        <v>261</v>
      </c>
      <c r="E75" s="77"/>
      <c r="F75" s="74"/>
      <c r="G75" s="74">
        <v>21457</v>
      </c>
      <c r="H75" s="74">
        <v>16109</v>
      </c>
      <c r="I75" s="60"/>
      <c r="J75" s="76">
        <f>AVERAGE(F75:H75)</f>
        <v>18783</v>
      </c>
      <c r="K75" s="60"/>
      <c r="L75" s="60"/>
      <c r="M75" s="60"/>
      <c r="N75" s="67"/>
    </row>
    <row r="76" spans="3:14" ht="36.75" customHeight="1" thickTop="1" thickBot="1">
      <c r="C76" s="466"/>
      <c r="D76" s="63" t="s">
        <v>262</v>
      </c>
      <c r="E76" s="77"/>
      <c r="F76" s="74"/>
      <c r="G76" s="74">
        <v>25029</v>
      </c>
      <c r="H76" s="74">
        <v>23100</v>
      </c>
      <c r="I76" s="60"/>
      <c r="J76" s="76">
        <f>AVERAGE(F76:H76)</f>
        <v>24064.5</v>
      </c>
      <c r="K76" s="60"/>
      <c r="L76" s="60"/>
      <c r="M76" s="60"/>
      <c r="N76" s="67"/>
    </row>
    <row r="77" spans="3:14" ht="33.75" hidden="1" customHeight="1" thickTop="1" thickBot="1">
      <c r="C77" s="466"/>
      <c r="D77" s="63" t="s">
        <v>263</v>
      </c>
      <c r="E77" s="431"/>
      <c r="F77" s="431"/>
      <c r="G77" s="431"/>
      <c r="H77" s="431"/>
      <c r="I77" s="431"/>
      <c r="J77" s="431"/>
      <c r="K77" s="431"/>
      <c r="L77" s="431"/>
      <c r="M77" s="431"/>
      <c r="N77" s="432"/>
    </row>
    <row r="78" spans="3:14" ht="30" customHeight="1" thickTop="1" thickBot="1">
      <c r="C78" s="466"/>
      <c r="D78" s="69" t="s">
        <v>264</v>
      </c>
      <c r="E78" s="568">
        <f>(H73+G73+H75+G75+H76)/2*1000000+G76*0.1*1000000</f>
        <v>39221400000</v>
      </c>
      <c r="F78" s="568"/>
      <c r="G78" s="568"/>
      <c r="H78" s="568"/>
      <c r="I78" s="568"/>
      <c r="J78" s="568"/>
      <c r="K78" s="568"/>
      <c r="L78" s="568"/>
      <c r="M78" s="568"/>
      <c r="N78" s="569"/>
    </row>
    <row r="79" spans="3:14" ht="21" customHeight="1" thickTop="1" thickBot="1">
      <c r="C79" s="466"/>
      <c r="D79" s="570" t="s">
        <v>265</v>
      </c>
      <c r="E79" s="571"/>
      <c r="F79" s="571"/>
      <c r="G79" s="571"/>
      <c r="H79" s="571"/>
      <c r="I79" s="571"/>
      <c r="J79" s="571"/>
      <c r="K79" s="571"/>
      <c r="L79" s="571"/>
      <c r="M79" s="571"/>
      <c r="N79" s="572"/>
    </row>
    <row r="80" spans="3:14" ht="74.25" customHeight="1" thickTop="1" thickBot="1">
      <c r="C80" s="466"/>
      <c r="D80" s="59" t="s">
        <v>266</v>
      </c>
      <c r="E80" s="431" t="s">
        <v>267</v>
      </c>
      <c r="F80" s="431"/>
      <c r="G80" s="431"/>
      <c r="H80" s="431"/>
      <c r="I80" s="431"/>
      <c r="J80" s="431"/>
      <c r="K80" s="431"/>
      <c r="L80" s="431"/>
      <c r="M80" s="431"/>
      <c r="N80" s="432"/>
    </row>
    <row r="81" spans="3:19" ht="24.75" customHeight="1" thickTop="1" thickBot="1">
      <c r="C81" s="466"/>
      <c r="D81" s="78" t="s">
        <v>268</v>
      </c>
      <c r="E81" s="560">
        <f>E78</f>
        <v>39221400000</v>
      </c>
      <c r="F81" s="560"/>
      <c r="G81" s="560"/>
      <c r="H81" s="560"/>
      <c r="I81" s="560"/>
      <c r="J81" s="560">
        <f>E59</f>
        <v>32722333.499999996</v>
      </c>
      <c r="K81" s="560"/>
      <c r="L81" s="560"/>
      <c r="M81" s="560"/>
      <c r="N81" s="561"/>
    </row>
    <row r="82" spans="3:19" ht="36.75" customHeight="1" thickTop="1" thickBot="1">
      <c r="C82" s="466"/>
      <c r="D82" s="78" t="s">
        <v>269</v>
      </c>
      <c r="E82" s="562">
        <v>0.5</v>
      </c>
      <c r="F82" s="562"/>
      <c r="G82" s="562"/>
      <c r="H82" s="562"/>
      <c r="I82" s="562"/>
      <c r="J82" s="562">
        <f>1-E82</f>
        <v>0.5</v>
      </c>
      <c r="K82" s="562"/>
      <c r="L82" s="562"/>
      <c r="M82" s="562"/>
      <c r="N82" s="563"/>
    </row>
    <row r="83" spans="3:19" ht="21.75" customHeight="1" thickTop="1" thickBot="1">
      <c r="C83" s="466"/>
      <c r="D83" s="79" t="s">
        <v>270</v>
      </c>
      <c r="E83" s="564">
        <f>E82*$E$41/E81</f>
        <v>2.6944353668626885E-4</v>
      </c>
      <c r="F83" s="564"/>
      <c r="G83" s="564"/>
      <c r="H83" s="564"/>
      <c r="I83" s="564"/>
      <c r="J83" s="565">
        <f>J82*$E$41/J81</f>
        <v>0.32295840789553792</v>
      </c>
      <c r="K83" s="565"/>
      <c r="L83" s="565"/>
      <c r="M83" s="565"/>
      <c r="N83" s="566"/>
    </row>
    <row r="84" spans="3:19" ht="35.25" thickTop="1" thickBot="1">
      <c r="C84" s="466">
        <v>4</v>
      </c>
      <c r="D84" s="467" t="s">
        <v>271</v>
      </c>
      <c r="E84" s="468"/>
      <c r="F84" s="468"/>
      <c r="G84" s="468"/>
      <c r="H84" s="468"/>
      <c r="I84" s="468"/>
      <c r="J84" s="468"/>
      <c r="K84" s="468"/>
      <c r="L84" s="468"/>
      <c r="M84" s="468"/>
      <c r="N84" s="469"/>
    </row>
    <row r="85" spans="3:19" ht="54.75" customHeight="1" thickTop="1" thickBot="1">
      <c r="C85" s="466"/>
      <c r="D85" s="80" t="s">
        <v>272</v>
      </c>
      <c r="E85" s="512" t="s">
        <v>273</v>
      </c>
      <c r="F85" s="513"/>
      <c r="G85" s="513"/>
      <c r="H85" s="513"/>
      <c r="I85" s="513"/>
      <c r="J85" s="513"/>
      <c r="K85" s="513"/>
      <c r="L85" s="513"/>
      <c r="M85" s="513"/>
      <c r="N85" s="514"/>
    </row>
    <row r="86" spans="3:19" ht="42" hidden="1" customHeight="1" thickTop="1" thickBot="1">
      <c r="C86" s="466"/>
      <c r="D86" s="553" t="s">
        <v>274</v>
      </c>
      <c r="E86" s="81">
        <v>1</v>
      </c>
      <c r="F86" s="81">
        <v>2</v>
      </c>
      <c r="G86" s="81">
        <v>3</v>
      </c>
      <c r="H86" s="81">
        <v>4</v>
      </c>
      <c r="I86" s="81">
        <v>5</v>
      </c>
      <c r="J86" s="81">
        <v>6</v>
      </c>
      <c r="K86" s="81">
        <v>7</v>
      </c>
      <c r="L86" s="81">
        <v>8</v>
      </c>
      <c r="M86" s="81">
        <v>9</v>
      </c>
      <c r="N86" s="82">
        <v>10</v>
      </c>
    </row>
    <row r="87" spans="3:19" ht="53.25" customHeight="1" thickTop="1" thickBot="1">
      <c r="C87" s="466"/>
      <c r="D87" s="554"/>
      <c r="E87" s="498" t="s">
        <v>275</v>
      </c>
      <c r="F87" s="500"/>
      <c r="G87" s="498" t="s">
        <v>276</v>
      </c>
      <c r="H87" s="500"/>
      <c r="I87" s="498" t="s">
        <v>277</v>
      </c>
      <c r="J87" s="500"/>
      <c r="K87" s="555" t="s">
        <v>278</v>
      </c>
      <c r="L87" s="556"/>
      <c r="M87" s="556"/>
      <c r="N87" s="557"/>
    </row>
    <row r="88" spans="3:19" ht="192" customHeight="1" thickTop="1" thickBot="1">
      <c r="C88" s="466"/>
      <c r="D88" s="63" t="s">
        <v>279</v>
      </c>
      <c r="E88" s="558" t="s">
        <v>280</v>
      </c>
      <c r="F88" s="559"/>
      <c r="G88" s="435" t="s">
        <v>281</v>
      </c>
      <c r="H88" s="436"/>
      <c r="I88" s="435" t="s">
        <v>282</v>
      </c>
      <c r="J88" s="436"/>
      <c r="K88" s="435" t="s">
        <v>283</v>
      </c>
      <c r="L88" s="437"/>
      <c r="M88" s="437"/>
      <c r="N88" s="438"/>
      <c r="S88"/>
    </row>
    <row r="89" spans="3:19" ht="144" hidden="1" customHeight="1" outlineLevel="1" thickTop="1" thickBot="1">
      <c r="C89" s="466"/>
      <c r="D89" s="63" t="s">
        <v>284</v>
      </c>
      <c r="E89" s="549" t="s">
        <v>285</v>
      </c>
      <c r="F89" s="550"/>
      <c r="G89" s="549" t="s">
        <v>286</v>
      </c>
      <c r="H89" s="550"/>
      <c r="I89" s="549" t="s">
        <v>287</v>
      </c>
      <c r="J89" s="550"/>
      <c r="K89" s="549" t="s">
        <v>288</v>
      </c>
      <c r="L89" s="551"/>
      <c r="M89" s="551"/>
      <c r="N89" s="552"/>
    </row>
    <row r="90" spans="3:19" ht="21" customHeight="1" collapsed="1" thickTop="1" thickBot="1">
      <c r="C90" s="466"/>
      <c r="D90" s="63" t="s">
        <v>289</v>
      </c>
      <c r="E90" s="542">
        <f>'[39]База данных'!E530</f>
        <v>2838017.8926825034</v>
      </c>
      <c r="F90" s="543"/>
      <c r="G90" s="542">
        <f>145495534.8/10414</f>
        <v>13971.147954676399</v>
      </c>
      <c r="H90" s="543"/>
      <c r="I90" s="445">
        <f>24942091.68/10414</f>
        <v>2395.0539350873823</v>
      </c>
      <c r="J90" s="446"/>
      <c r="K90" s="445" t="s">
        <v>290</v>
      </c>
      <c r="L90" s="451"/>
      <c r="M90" s="451"/>
      <c r="N90" s="452"/>
    </row>
    <row r="91" spans="3:19" ht="185.25" customHeight="1" thickTop="1" thickBot="1">
      <c r="C91" s="466"/>
      <c r="D91" s="63" t="s">
        <v>291</v>
      </c>
      <c r="E91" s="544" t="s">
        <v>292</v>
      </c>
      <c r="F91" s="545"/>
      <c r="G91" s="544" t="s">
        <v>293</v>
      </c>
      <c r="H91" s="546"/>
      <c r="I91" s="544" t="s">
        <v>294</v>
      </c>
      <c r="J91" s="546"/>
      <c r="K91" s="544" t="s">
        <v>295</v>
      </c>
      <c r="L91" s="547"/>
      <c r="M91" s="547"/>
      <c r="N91" s="548"/>
    </row>
    <row r="92" spans="3:19" ht="112.5" customHeight="1" thickTop="1" thickBot="1">
      <c r="C92" s="466"/>
      <c r="D92" s="63" t="s">
        <v>296</v>
      </c>
      <c r="E92" s="539" t="s">
        <v>297</v>
      </c>
      <c r="F92" s="539"/>
      <c r="G92" s="539"/>
      <c r="H92" s="539"/>
      <c r="I92" s="539"/>
      <c r="J92" s="539"/>
      <c r="K92" s="539"/>
      <c r="L92" s="539"/>
      <c r="M92" s="539"/>
      <c r="N92" s="540"/>
    </row>
    <row r="93" spans="3:19" ht="46.5" customHeight="1" thickTop="1" thickBot="1">
      <c r="C93" s="466"/>
      <c r="D93" s="63" t="s">
        <v>298</v>
      </c>
      <c r="E93" s="431" t="s">
        <v>299</v>
      </c>
      <c r="F93" s="431"/>
      <c r="G93" s="431"/>
      <c r="H93" s="431"/>
      <c r="I93" s="431"/>
      <c r="J93" s="431"/>
      <c r="K93" s="431"/>
      <c r="L93" s="431"/>
      <c r="M93" s="431"/>
      <c r="N93" s="432"/>
    </row>
    <row r="94" spans="3:19" ht="36.75" customHeight="1" thickTop="1" thickBot="1">
      <c r="C94" s="466"/>
      <c r="D94" s="541" t="s">
        <v>300</v>
      </c>
      <c r="E94" s="431" t="s">
        <v>301</v>
      </c>
      <c r="F94" s="431"/>
      <c r="G94" s="431"/>
      <c r="H94" s="431"/>
      <c r="I94" s="431"/>
      <c r="J94" s="431"/>
      <c r="K94" s="431"/>
      <c r="L94" s="431"/>
      <c r="M94" s="431"/>
      <c r="N94" s="432"/>
    </row>
    <row r="95" spans="3:19" ht="36.75" hidden="1" customHeight="1" outlineLevel="1" thickTop="1" thickBot="1">
      <c r="C95" s="466"/>
      <c r="D95" s="541"/>
      <c r="E95" s="498" t="s">
        <v>302</v>
      </c>
      <c r="F95" s="499"/>
      <c r="G95" s="499"/>
      <c r="H95" s="499"/>
      <c r="I95" s="500"/>
      <c r="J95" s="431" t="s">
        <v>194</v>
      </c>
      <c r="K95" s="431"/>
      <c r="L95" s="431"/>
      <c r="M95" s="431"/>
      <c r="N95" s="432"/>
    </row>
    <row r="96" spans="3:19" ht="36.75" hidden="1" customHeight="1" outlineLevel="1" thickTop="1" thickBot="1">
      <c r="C96" s="466"/>
      <c r="D96" s="541"/>
      <c r="E96" s="431" t="s">
        <v>303</v>
      </c>
      <c r="F96" s="431"/>
      <c r="G96" s="431"/>
      <c r="H96" s="431"/>
      <c r="I96" s="60"/>
      <c r="J96" s="431" t="s">
        <v>194</v>
      </c>
      <c r="K96" s="431"/>
      <c r="L96" s="431"/>
      <c r="M96" s="431"/>
      <c r="N96" s="432"/>
    </row>
    <row r="97" spans="3:16" ht="33" customHeight="1" collapsed="1" thickTop="1" thickBot="1">
      <c r="C97" s="466"/>
      <c r="D97" s="63" t="s">
        <v>304</v>
      </c>
      <c r="E97" s="527">
        <f>24*72</f>
        <v>1728</v>
      </c>
      <c r="F97" s="531"/>
      <c r="G97" s="531"/>
      <c r="H97" s="531"/>
      <c r="I97" s="532"/>
      <c r="J97" s="431" t="s">
        <v>194</v>
      </c>
      <c r="K97" s="431"/>
      <c r="L97" s="431"/>
      <c r="M97" s="431"/>
      <c r="N97" s="432"/>
    </row>
    <row r="98" spans="3:16" ht="35.25" customHeight="1" thickTop="1" thickBot="1">
      <c r="C98" s="466"/>
      <c r="D98" s="69" t="s">
        <v>305</v>
      </c>
      <c r="E98" s="533">
        <v>50</v>
      </c>
      <c r="F98" s="534"/>
      <c r="G98" s="534"/>
      <c r="H98" s="534"/>
      <c r="I98" s="535"/>
      <c r="J98" s="431" t="s">
        <v>194</v>
      </c>
      <c r="K98" s="431"/>
      <c r="L98" s="431"/>
      <c r="M98" s="431"/>
      <c r="N98" s="432"/>
    </row>
    <row r="99" spans="3:16" ht="21.75" customHeight="1" thickTop="1" thickBot="1">
      <c r="C99" s="466"/>
      <c r="D99" s="536" t="s">
        <v>306</v>
      </c>
      <c r="E99" s="537"/>
      <c r="F99" s="537"/>
      <c r="G99" s="537"/>
      <c r="H99" s="537"/>
      <c r="I99" s="537"/>
      <c r="J99" s="537"/>
      <c r="K99" s="537"/>
      <c r="L99" s="537"/>
      <c r="M99" s="537"/>
      <c r="N99" s="538"/>
    </row>
    <row r="100" spans="3:16" ht="107.25" customHeight="1" thickTop="1" thickBot="1">
      <c r="C100" s="466"/>
      <c r="D100" s="63" t="s">
        <v>307</v>
      </c>
      <c r="E100" s="494" t="str">
        <f>E92</f>
        <v>Процесс производства соевого продукции: посева---уборка---Производство барды из зёрен→барда низкой температуры→автоматическое измерение→первое выщелачивание→делитель→повторное выщелачивание→делитель→соевое молоко→осаждение→делитель→обработка кислотой→нейтрализация→изотропия→дезинфицировать→сушка→делитель→сортировка→охлаждение→бак готовой продукции→упаковка→готовый товар</v>
      </c>
      <c r="F100" s="494"/>
      <c r="G100" s="494"/>
      <c r="H100" s="494"/>
      <c r="I100" s="494"/>
      <c r="J100" s="494"/>
      <c r="K100" s="494"/>
      <c r="L100" s="494"/>
      <c r="M100" s="494"/>
      <c r="N100" s="495"/>
    </row>
    <row r="101" spans="3:16" ht="83.25" customHeight="1" thickTop="1" thickBot="1">
      <c r="C101" s="466"/>
      <c r="D101" s="63" t="s">
        <v>308</v>
      </c>
      <c r="E101" s="521" t="str">
        <f>E88</f>
        <v>ПроизводительностьСоевый белок изолированный: 8 тонн/день        Количество получаемого молока: 500л./час
Количество получаемого тофу: 150кг/час
Продолжительность одного цикла – 1 час  
Производительность за 24 часа: Для производства 140 кг соевой спаржи нужно 200 кг сои</v>
      </c>
      <c r="F101" s="521"/>
      <c r="G101" s="521"/>
      <c r="H101" s="521"/>
      <c r="I101" s="521"/>
      <c r="J101" s="521"/>
      <c r="K101" s="521"/>
      <c r="L101" s="521"/>
      <c r="M101" s="521"/>
      <c r="N101" s="522"/>
    </row>
    <row r="102" spans="3:16" ht="16.5" customHeight="1" thickTop="1" thickBot="1">
      <c r="C102" s="466"/>
      <c r="D102" s="63" t="s">
        <v>309</v>
      </c>
      <c r="E102" s="523" t="s">
        <v>310</v>
      </c>
      <c r="F102" s="523"/>
      <c r="G102" s="523"/>
      <c r="H102" s="523"/>
      <c r="I102" s="523"/>
      <c r="J102" s="523"/>
      <c r="K102" s="523"/>
      <c r="L102" s="523"/>
      <c r="M102" s="523"/>
      <c r="N102" s="524"/>
    </row>
    <row r="103" spans="3:16" ht="16.5" customHeight="1" thickTop="1" thickBot="1">
      <c r="C103" s="466"/>
      <c r="D103" s="63" t="s">
        <v>311</v>
      </c>
      <c r="E103" s="525">
        <f>'[39]База данных'!E530</f>
        <v>2838017.8926825034</v>
      </c>
      <c r="F103" s="525"/>
      <c r="G103" s="525"/>
      <c r="H103" s="525"/>
      <c r="I103" s="525"/>
      <c r="J103" s="525"/>
      <c r="K103" s="525"/>
      <c r="L103" s="525"/>
      <c r="M103" s="525"/>
      <c r="N103" s="526"/>
    </row>
    <row r="104" spans="3:16" ht="18" customHeight="1" thickTop="1" thickBot="1">
      <c r="C104" s="466"/>
      <c r="D104" s="63" t="s">
        <v>312</v>
      </c>
      <c r="E104" s="527">
        <f>E97</f>
        <v>1728</v>
      </c>
      <c r="F104" s="499"/>
      <c r="G104" s="499"/>
      <c r="H104" s="499"/>
      <c r="I104" s="499"/>
      <c r="J104" s="499"/>
      <c r="K104" s="499"/>
      <c r="L104" s="499"/>
      <c r="M104" s="499"/>
      <c r="N104" s="505"/>
    </row>
    <row r="105" spans="3:16" ht="18" customHeight="1" thickTop="1" thickBot="1">
      <c r="C105" s="466"/>
      <c r="D105" s="63" t="s">
        <v>313</v>
      </c>
      <c r="E105" s="528">
        <f>E98</f>
        <v>50</v>
      </c>
      <c r="F105" s="529"/>
      <c r="G105" s="529"/>
      <c r="H105" s="529"/>
      <c r="I105" s="529"/>
      <c r="J105" s="529"/>
      <c r="K105" s="529"/>
      <c r="L105" s="529"/>
      <c r="M105" s="529"/>
      <c r="N105" s="530"/>
    </row>
    <row r="106" spans="3:16" ht="18" customHeight="1" thickTop="1" thickBot="1">
      <c r="C106" s="466"/>
      <c r="D106" s="63" t="s">
        <v>314</v>
      </c>
      <c r="E106" s="525">
        <v>6</v>
      </c>
      <c r="F106" s="525"/>
      <c r="G106" s="525"/>
      <c r="H106" s="525"/>
      <c r="I106" s="525"/>
      <c r="J106" s="525"/>
      <c r="K106" s="525"/>
      <c r="L106" s="525"/>
      <c r="M106" s="525"/>
      <c r="N106" s="526"/>
    </row>
    <row r="107" spans="3:16" ht="18" hidden="1" customHeight="1" thickTop="1" thickBot="1">
      <c r="C107" s="466"/>
      <c r="D107" s="83" t="s">
        <v>315</v>
      </c>
      <c r="E107" s="507"/>
      <c r="F107" s="508"/>
      <c r="G107" s="508"/>
      <c r="H107" s="508"/>
      <c r="I107" s="508"/>
      <c r="J107" s="508"/>
      <c r="K107" s="508"/>
      <c r="L107" s="508"/>
      <c r="M107" s="508"/>
      <c r="N107" s="509"/>
    </row>
    <row r="108" spans="3:16" ht="17.25" hidden="1" customHeight="1" thickTop="1" thickBot="1">
      <c r="C108" s="466"/>
      <c r="D108" s="69" t="s">
        <v>316</v>
      </c>
      <c r="E108" s="510"/>
      <c r="F108" s="510"/>
      <c r="G108" s="510"/>
      <c r="H108" s="510"/>
      <c r="I108" s="510"/>
      <c r="J108" s="510"/>
      <c r="K108" s="510"/>
      <c r="L108" s="510"/>
      <c r="M108" s="510"/>
      <c r="N108" s="511"/>
    </row>
    <row r="109" spans="3:16" ht="33" customHeight="1" thickTop="1" thickBot="1">
      <c r="C109" s="466">
        <v>5</v>
      </c>
      <c r="D109" s="467" t="s">
        <v>317</v>
      </c>
      <c r="E109" s="468"/>
      <c r="F109" s="468"/>
      <c r="G109" s="468"/>
      <c r="H109" s="468"/>
      <c r="I109" s="468"/>
      <c r="J109" s="468"/>
      <c r="K109" s="468"/>
      <c r="L109" s="468"/>
      <c r="M109" s="468"/>
      <c r="N109" s="469"/>
    </row>
    <row r="110" spans="3:16" ht="50.25" customHeight="1" thickTop="1" thickBot="1">
      <c r="C110" s="466"/>
      <c r="D110" s="84" t="s">
        <v>318</v>
      </c>
      <c r="E110" s="512" t="str">
        <f>E93</f>
        <v>семена-15%, Азот-12%, Фосфор - 5%, калий - 8%,коагулянт -25%,   и прочее - 5,6%</v>
      </c>
      <c r="F110" s="513"/>
      <c r="G110" s="513"/>
      <c r="H110" s="513"/>
      <c r="I110" s="513"/>
      <c r="J110" s="513"/>
      <c r="K110" s="513"/>
      <c r="L110" s="513"/>
      <c r="M110" s="513"/>
      <c r="N110" s="514"/>
    </row>
    <row r="111" spans="3:16" ht="16.5" customHeight="1" thickTop="1" thickBot="1">
      <c r="C111" s="466"/>
      <c r="D111" s="63" t="s">
        <v>319</v>
      </c>
      <c r="E111" s="515" t="s">
        <v>320</v>
      </c>
      <c r="F111" s="516"/>
      <c r="G111" s="516"/>
      <c r="H111" s="516"/>
      <c r="I111" s="516"/>
      <c r="J111" s="516"/>
      <c r="K111" s="516"/>
      <c r="L111" s="516"/>
      <c r="M111" s="516"/>
      <c r="N111" s="517"/>
    </row>
    <row r="112" spans="3:16" ht="19.5" customHeight="1" thickTop="1" thickBot="1">
      <c r="C112" s="466"/>
      <c r="D112" s="63" t="s">
        <v>321</v>
      </c>
      <c r="E112" s="515" t="s">
        <v>322</v>
      </c>
      <c r="F112" s="516"/>
      <c r="G112" s="516"/>
      <c r="H112" s="516"/>
      <c r="I112" s="516"/>
      <c r="J112" s="516"/>
      <c r="K112" s="516"/>
      <c r="L112" s="516"/>
      <c r="M112" s="516"/>
      <c r="N112" s="517"/>
      <c r="P112" s="85">
        <f>120/780</f>
        <v>0.15384615384615385</v>
      </c>
    </row>
    <row r="113" spans="3:16" ht="40.5" customHeight="1" thickTop="1" thickBot="1">
      <c r="C113" s="466"/>
      <c r="D113" s="63" t="s">
        <v>323</v>
      </c>
      <c r="E113" s="86" t="s">
        <v>324</v>
      </c>
      <c r="F113" s="86" t="s">
        <v>325</v>
      </c>
      <c r="G113" s="86" t="s">
        <v>326</v>
      </c>
      <c r="H113" s="87" t="s">
        <v>327</v>
      </c>
      <c r="I113" s="86"/>
      <c r="J113" s="88" t="s">
        <v>328</v>
      </c>
      <c r="K113" s="88" t="s">
        <v>329</v>
      </c>
      <c r="L113" s="88"/>
      <c r="M113" s="88"/>
      <c r="N113" s="89"/>
      <c r="P113" s="85">
        <f>90/780</f>
        <v>0.11538461538461539</v>
      </c>
    </row>
    <row r="114" spans="3:16" ht="30" hidden="1" outlineLevel="1" thickTop="1" thickBot="1">
      <c r="C114" s="466"/>
      <c r="D114" s="69" t="s">
        <v>330</v>
      </c>
      <c r="E114" s="90">
        <f>'[39]NPV-IRR-PI-DPP (2)'!E47</f>
        <v>0.49813520261186861</v>
      </c>
      <c r="F114" s="91">
        <f>'[39]База данных'!D618</f>
        <v>0.3840983291722681</v>
      </c>
      <c r="G114" s="91">
        <f>'[39]База данных'!D619</f>
        <v>0.28807374687920106</v>
      </c>
      <c r="H114" s="91">
        <f>'[39]База данных'!D620</f>
        <v>0.19204916458613405</v>
      </c>
      <c r="I114" s="92">
        <f>'[39]База данных'!D622</f>
        <v>89.325907432302671</v>
      </c>
      <c r="J114" s="88">
        <f>'[39]NPV-IRR-PI-DPP (2)'!E63</f>
        <v>1.3170731707317074</v>
      </c>
      <c r="K114" s="88">
        <f>'[39]NPV-IRR-PI-DPP (2)'!E64</f>
        <v>0.32408296523910118</v>
      </c>
      <c r="L114" s="88"/>
      <c r="M114" s="88"/>
      <c r="N114" s="89"/>
      <c r="P114" s="85">
        <f>40/780</f>
        <v>5.128205128205128E-2</v>
      </c>
    </row>
    <row r="115" spans="3:16" ht="31.5" collapsed="1" thickTop="1" thickBot="1">
      <c r="C115" s="466"/>
      <c r="D115" s="93" t="s">
        <v>331</v>
      </c>
      <c r="E115" s="515" t="s">
        <v>332</v>
      </c>
      <c r="F115" s="518"/>
      <c r="G115" s="94" t="s">
        <v>333</v>
      </c>
      <c r="H115" s="94" t="s">
        <v>334</v>
      </c>
      <c r="I115" s="94"/>
      <c r="J115" s="94" t="s">
        <v>335</v>
      </c>
      <c r="K115" s="94" t="s">
        <v>336</v>
      </c>
      <c r="L115" s="94"/>
      <c r="M115" s="94"/>
      <c r="N115" s="95" t="s">
        <v>336</v>
      </c>
      <c r="P115" s="85">
        <f>65/780</f>
        <v>8.3333333333333329E-2</v>
      </c>
    </row>
    <row r="116" spans="3:16" ht="16.5" thickTop="1" thickBot="1">
      <c r="C116" s="466"/>
      <c r="D116" s="63" t="s">
        <v>337</v>
      </c>
      <c r="E116" s="519">
        <f>'[39]База данных'!E40</f>
        <v>2886000</v>
      </c>
      <c r="F116" s="520"/>
      <c r="G116" s="68">
        <f>'[39]База данных'!G32</f>
        <v>52000324.5</v>
      </c>
      <c r="H116" s="68">
        <f>15*260</f>
        <v>3900</v>
      </c>
      <c r="I116" s="68"/>
      <c r="J116" s="61">
        <f>'[39]База данных'!AO421</f>
        <v>371293.76901408448</v>
      </c>
      <c r="K116" s="61" t="s">
        <v>338</v>
      </c>
      <c r="L116" s="61"/>
      <c r="M116" s="61"/>
      <c r="N116" s="62" t="s">
        <v>338</v>
      </c>
    </row>
    <row r="117" spans="3:16" ht="16.5" thickTop="1" thickBot="1">
      <c r="C117" s="466"/>
      <c r="D117" s="63" t="s">
        <v>339</v>
      </c>
      <c r="E117" s="96">
        <f>450/10414</f>
        <v>4.321106203188016E-2</v>
      </c>
      <c r="F117" s="96"/>
      <c r="G117" s="64">
        <f>1800/10414</f>
        <v>0.17284424812752064</v>
      </c>
      <c r="H117" s="64">
        <f>600/10414</f>
        <v>5.7614749375840213E-2</v>
      </c>
      <c r="I117" s="61"/>
      <c r="J117" s="97">
        <f>'[39]База данных'!AO423</f>
        <v>0.89302861532552336</v>
      </c>
      <c r="K117" s="61"/>
      <c r="L117" s="61"/>
      <c r="M117" s="61"/>
      <c r="N117" s="62"/>
    </row>
    <row r="118" spans="3:16" ht="19.5" hidden="1" outlineLevel="1" thickTop="1" thickBot="1">
      <c r="C118" s="466"/>
      <c r="D118" s="63" t="str">
        <f>[39]Input4!A339</f>
        <v>Гофроящики 40х40х80</v>
      </c>
      <c r="E118" s="431" t="s">
        <v>340</v>
      </c>
      <c r="F118" s="431"/>
      <c r="G118" s="431"/>
      <c r="H118" s="431"/>
      <c r="I118" s="431"/>
      <c r="J118" s="431"/>
      <c r="K118" s="431"/>
      <c r="L118" s="431"/>
      <c r="M118" s="431"/>
      <c r="N118" s="432"/>
    </row>
    <row r="119" spans="3:16" ht="21.75" hidden="1" outlineLevel="1" thickTop="1" thickBot="1">
      <c r="C119" s="466"/>
      <c r="D119" s="63" t="str">
        <f>[39]Input4!A340</f>
        <v>Целофан пакет</v>
      </c>
      <c r="E119" s="494" t="s">
        <v>341</v>
      </c>
      <c r="F119" s="494"/>
      <c r="G119" s="494"/>
      <c r="H119" s="494"/>
      <c r="I119" s="494"/>
      <c r="J119" s="494"/>
      <c r="K119" s="494"/>
      <c r="L119" s="494"/>
      <c r="M119" s="494"/>
      <c r="N119" s="495"/>
    </row>
    <row r="120" spans="3:16" ht="15.75" hidden="1" outlineLevel="1" thickTop="1" thickBot="1">
      <c r="C120" s="466"/>
      <c r="D120" s="69"/>
      <c r="E120" s="496"/>
      <c r="F120" s="496"/>
      <c r="G120" s="496"/>
      <c r="H120" s="496"/>
      <c r="I120" s="496"/>
      <c r="J120" s="496"/>
      <c r="K120" s="496"/>
      <c r="L120" s="496"/>
      <c r="M120" s="496"/>
      <c r="N120" s="497"/>
    </row>
    <row r="121" spans="3:16" ht="35.25" collapsed="1" thickTop="1" thickBot="1">
      <c r="C121" s="466">
        <v>6</v>
      </c>
      <c r="D121" s="467" t="s">
        <v>193</v>
      </c>
      <c r="E121" s="468"/>
      <c r="F121" s="468"/>
      <c r="G121" s="468"/>
      <c r="H121" s="468"/>
      <c r="I121" s="468"/>
      <c r="J121" s="468"/>
      <c r="K121" s="468"/>
      <c r="L121" s="468"/>
      <c r="M121" s="468"/>
      <c r="N121" s="469"/>
    </row>
    <row r="122" spans="3:16" ht="81.75" customHeight="1" thickTop="1" thickBot="1">
      <c r="C122" s="466"/>
      <c r="D122" s="42" t="s">
        <v>342</v>
      </c>
      <c r="E122" s="98" t="str">
        <f>E10</f>
        <v>Будет уточнено</v>
      </c>
      <c r="F122" s="98" t="s">
        <v>343</v>
      </c>
      <c r="G122" s="498" t="s">
        <v>344</v>
      </c>
      <c r="H122" s="499"/>
      <c r="I122" s="500"/>
      <c r="J122" s="501" t="s">
        <v>345</v>
      </c>
      <c r="K122" s="502"/>
      <c r="L122" s="503"/>
      <c r="M122" s="501"/>
      <c r="N122" s="504"/>
    </row>
    <row r="123" spans="3:16" ht="53.25" customHeight="1" thickTop="1" thickBot="1">
      <c r="C123" s="466"/>
      <c r="D123" s="43" t="s">
        <v>346</v>
      </c>
      <c r="E123" s="498" t="s">
        <v>194</v>
      </c>
      <c r="F123" s="499"/>
      <c r="G123" s="499"/>
      <c r="H123" s="499"/>
      <c r="I123" s="499"/>
      <c r="J123" s="499"/>
      <c r="K123" s="499"/>
      <c r="L123" s="499"/>
      <c r="M123" s="499"/>
      <c r="N123" s="505"/>
    </row>
    <row r="124" spans="3:16" ht="19.5" hidden="1" outlineLevel="1" thickTop="1" thickBot="1">
      <c r="C124" s="466"/>
      <c r="D124" s="506" t="s">
        <v>347</v>
      </c>
      <c r="E124" s="431"/>
      <c r="F124" s="431"/>
      <c r="G124" s="431"/>
      <c r="H124" s="431"/>
      <c r="I124" s="431"/>
      <c r="J124" s="431"/>
      <c r="K124" s="431"/>
      <c r="L124" s="431"/>
      <c r="M124" s="431"/>
      <c r="N124" s="432"/>
    </row>
    <row r="125" spans="3:16" ht="33.75" customHeight="1" collapsed="1" thickTop="1" thickBot="1">
      <c r="C125" s="466"/>
      <c r="D125" s="63" t="s">
        <v>348</v>
      </c>
      <c r="E125" s="459" t="str">
        <f>E112</f>
        <v>Рынки оптовой торговли</v>
      </c>
      <c r="F125" s="459"/>
      <c r="G125" s="459"/>
      <c r="H125" s="459"/>
      <c r="I125" s="459"/>
      <c r="J125" s="459"/>
      <c r="K125" s="459"/>
      <c r="L125" s="459"/>
      <c r="M125" s="459"/>
      <c r="N125" s="460"/>
    </row>
    <row r="126" spans="3:16" ht="36.75" hidden="1" customHeight="1" outlineLevel="1" thickTop="1" thickBot="1">
      <c r="C126" s="466"/>
      <c r="D126" s="63" t="s">
        <v>349</v>
      </c>
      <c r="E126" s="459" t="s">
        <v>194</v>
      </c>
      <c r="F126" s="459"/>
      <c r="G126" s="459"/>
      <c r="H126" s="459"/>
      <c r="I126" s="459"/>
      <c r="J126" s="459"/>
      <c r="K126" s="459"/>
      <c r="L126" s="459"/>
      <c r="M126" s="459"/>
      <c r="N126" s="460"/>
    </row>
    <row r="127" spans="3:16" ht="22.5" hidden="1" customHeight="1" outlineLevel="1" thickTop="1" thickBot="1">
      <c r="C127" s="466"/>
      <c r="D127" s="63" t="s">
        <v>350</v>
      </c>
      <c r="E127" s="459" t="s">
        <v>194</v>
      </c>
      <c r="F127" s="459"/>
      <c r="G127" s="459"/>
      <c r="H127" s="459"/>
      <c r="I127" s="459"/>
      <c r="J127" s="459"/>
      <c r="K127" s="459"/>
      <c r="L127" s="459"/>
      <c r="M127" s="459"/>
      <c r="N127" s="460"/>
    </row>
    <row r="128" spans="3:16" ht="15" hidden="1" customHeight="1" outlineLevel="1" thickTop="1" thickBot="1">
      <c r="C128" s="466"/>
      <c r="D128" s="63" t="s">
        <v>351</v>
      </c>
      <c r="E128" s="459" t="s">
        <v>194</v>
      </c>
      <c r="F128" s="459"/>
      <c r="G128" s="459"/>
      <c r="H128" s="459"/>
      <c r="I128" s="459"/>
      <c r="J128" s="459"/>
      <c r="K128" s="459"/>
      <c r="L128" s="459"/>
      <c r="M128" s="459"/>
      <c r="N128" s="460"/>
    </row>
    <row r="129" spans="3:14" ht="16.5" hidden="1" outlineLevel="1" thickTop="1" thickBot="1">
      <c r="C129" s="466"/>
      <c r="D129" s="63" t="s">
        <v>352</v>
      </c>
      <c r="E129" s="459" t="s">
        <v>194</v>
      </c>
      <c r="F129" s="459"/>
      <c r="G129" s="459"/>
      <c r="H129" s="459"/>
      <c r="I129" s="459"/>
      <c r="J129" s="459"/>
      <c r="K129" s="459"/>
      <c r="L129" s="459"/>
      <c r="M129" s="459"/>
      <c r="N129" s="460"/>
    </row>
    <row r="130" spans="3:14" ht="16.5" hidden="1" outlineLevel="1" thickTop="1" thickBot="1">
      <c r="C130" s="466"/>
      <c r="D130" s="63" t="s">
        <v>352</v>
      </c>
      <c r="E130" s="459" t="s">
        <v>194</v>
      </c>
      <c r="F130" s="459"/>
      <c r="G130" s="459"/>
      <c r="H130" s="459"/>
      <c r="I130" s="459"/>
      <c r="J130" s="459"/>
      <c r="K130" s="459"/>
      <c r="L130" s="459"/>
      <c r="M130" s="459"/>
      <c r="N130" s="460"/>
    </row>
    <row r="131" spans="3:14" ht="16.5" collapsed="1" thickTop="1" thickBot="1">
      <c r="C131" s="466"/>
      <c r="D131" s="63" t="s">
        <v>352</v>
      </c>
      <c r="E131" s="459">
        <f>H122</f>
        <v>0</v>
      </c>
      <c r="F131" s="459"/>
      <c r="G131" s="459"/>
      <c r="H131" s="459"/>
      <c r="I131" s="459"/>
      <c r="J131" s="459"/>
      <c r="K131" s="459"/>
      <c r="L131" s="459"/>
      <c r="M131" s="459"/>
      <c r="N131" s="460"/>
    </row>
    <row r="132" spans="3:14" ht="16.5" thickTop="1" thickBot="1">
      <c r="C132" s="466"/>
      <c r="D132" s="63" t="s">
        <v>352</v>
      </c>
      <c r="E132" s="459" t="s">
        <v>194</v>
      </c>
      <c r="F132" s="459"/>
      <c r="G132" s="459"/>
      <c r="H132" s="459"/>
      <c r="I132" s="459"/>
      <c r="J132" s="459"/>
      <c r="K132" s="459"/>
      <c r="L132" s="459"/>
      <c r="M132" s="459"/>
      <c r="N132" s="460"/>
    </row>
    <row r="133" spans="3:14" ht="16.5" thickTop="1" thickBot="1">
      <c r="C133" s="466"/>
      <c r="D133" s="49" t="s">
        <v>353</v>
      </c>
      <c r="E133" s="459" t="s">
        <v>194</v>
      </c>
      <c r="F133" s="459"/>
      <c r="G133" s="459"/>
      <c r="H133" s="459"/>
      <c r="I133" s="459"/>
      <c r="J133" s="459"/>
      <c r="K133" s="459"/>
      <c r="L133" s="459"/>
      <c r="M133" s="459"/>
      <c r="N133" s="460"/>
    </row>
    <row r="134" spans="3:14" ht="16.5" hidden="1" outlineLevel="1" thickTop="1" thickBot="1">
      <c r="C134" s="466"/>
      <c r="D134" s="49" t="s">
        <v>354</v>
      </c>
      <c r="E134" s="459" t="str">
        <f>E122</f>
        <v>Будет уточнено</v>
      </c>
      <c r="F134" s="459"/>
      <c r="G134" s="459"/>
      <c r="H134" s="459"/>
      <c r="I134" s="459"/>
      <c r="J134" s="459"/>
      <c r="K134" s="459"/>
      <c r="L134" s="459"/>
      <c r="M134" s="459"/>
      <c r="N134" s="460"/>
    </row>
    <row r="135" spans="3:14" ht="16.5" hidden="1" outlineLevel="1" thickTop="1" thickBot="1">
      <c r="C135" s="466"/>
      <c r="D135" s="49" t="s">
        <v>355</v>
      </c>
      <c r="E135" s="459" t="s">
        <v>194</v>
      </c>
      <c r="F135" s="459"/>
      <c r="G135" s="459"/>
      <c r="H135" s="459"/>
      <c r="I135" s="459"/>
      <c r="J135" s="459"/>
      <c r="K135" s="459"/>
      <c r="L135" s="459"/>
      <c r="M135" s="459"/>
      <c r="N135" s="460"/>
    </row>
    <row r="136" spans="3:14" ht="16.5" hidden="1" outlineLevel="1" thickTop="1" thickBot="1">
      <c r="C136" s="466"/>
      <c r="D136" s="49"/>
      <c r="E136" s="459" t="s">
        <v>194</v>
      </c>
      <c r="F136" s="459"/>
      <c r="G136" s="459"/>
      <c r="H136" s="459"/>
      <c r="I136" s="459"/>
      <c r="J136" s="459"/>
      <c r="K136" s="459"/>
      <c r="L136" s="459"/>
      <c r="M136" s="459"/>
      <c r="N136" s="460"/>
    </row>
    <row r="137" spans="3:14" ht="16.5" collapsed="1" thickTop="1" thickBot="1">
      <c r="C137" s="466"/>
      <c r="D137" s="49" t="s">
        <v>356</v>
      </c>
      <c r="E137" s="492">
        <f>SUM(E138:N139)</f>
        <v>0.25919999999999999</v>
      </c>
      <c r="F137" s="492"/>
      <c r="G137" s="492"/>
      <c r="H137" s="492"/>
      <c r="I137" s="492"/>
      <c r="J137" s="492"/>
      <c r="K137" s="492"/>
      <c r="L137" s="492"/>
      <c r="M137" s="492"/>
      <c r="N137" s="493"/>
    </row>
    <row r="138" spans="3:14" ht="16.5" thickTop="1" thickBot="1">
      <c r="C138" s="466"/>
      <c r="D138" s="99" t="s">
        <v>357</v>
      </c>
      <c r="E138" s="488">
        <f>24*72/10000</f>
        <v>0.17280000000000001</v>
      </c>
      <c r="F138" s="488"/>
      <c r="G138" s="488"/>
      <c r="H138" s="488"/>
      <c r="I138" s="488"/>
      <c r="J138" s="488"/>
      <c r="K138" s="488"/>
      <c r="L138" s="488"/>
      <c r="M138" s="488"/>
      <c r="N138" s="489"/>
    </row>
    <row r="139" spans="3:14" ht="16.5" thickTop="1" thickBot="1">
      <c r="C139" s="466"/>
      <c r="D139" s="99" t="s">
        <v>358</v>
      </c>
      <c r="E139" s="488">
        <f>E138/2</f>
        <v>8.6400000000000005E-2</v>
      </c>
      <c r="F139" s="488"/>
      <c r="G139" s="488"/>
      <c r="H139" s="488"/>
      <c r="I139" s="488"/>
      <c r="J139" s="488"/>
      <c r="K139" s="488"/>
      <c r="L139" s="488"/>
      <c r="M139" s="488"/>
      <c r="N139" s="489"/>
    </row>
    <row r="140" spans="3:14" ht="33" customHeight="1" thickTop="1" thickBot="1">
      <c r="C140" s="466"/>
      <c r="D140" s="99" t="s">
        <v>359</v>
      </c>
      <c r="E140" s="490">
        <f>(E39+I39+M39)/'[39]База данных'!J554</f>
        <v>1540.9577464788731</v>
      </c>
      <c r="F140" s="490"/>
      <c r="G140" s="490"/>
      <c r="H140" s="490"/>
      <c r="I140" s="490"/>
      <c r="J140" s="490"/>
      <c r="K140" s="490"/>
      <c r="L140" s="490"/>
      <c r="M140" s="490"/>
      <c r="N140" s="491"/>
    </row>
    <row r="141" spans="3:14" ht="15" hidden="1" customHeight="1" outlineLevel="1" thickTop="1" thickBot="1">
      <c r="C141" s="466"/>
      <c r="D141" s="99" t="s">
        <v>360</v>
      </c>
      <c r="E141" s="459" t="s">
        <v>361</v>
      </c>
      <c r="F141" s="459"/>
      <c r="G141" s="459"/>
      <c r="H141" s="459"/>
      <c r="I141" s="459"/>
      <c r="J141" s="459"/>
      <c r="K141" s="459"/>
      <c r="L141" s="459"/>
      <c r="M141" s="459"/>
      <c r="N141" s="460"/>
    </row>
    <row r="142" spans="3:14" ht="15" hidden="1" customHeight="1" outlineLevel="1" thickTop="1" thickBot="1">
      <c r="C142" s="466"/>
      <c r="D142" s="99" t="s">
        <v>362</v>
      </c>
      <c r="E142" s="459"/>
      <c r="F142" s="459"/>
      <c r="G142" s="459"/>
      <c r="H142" s="459"/>
      <c r="I142" s="459"/>
      <c r="J142" s="459"/>
      <c r="K142" s="459"/>
      <c r="L142" s="459"/>
      <c r="M142" s="459"/>
      <c r="N142" s="460"/>
    </row>
    <row r="143" spans="3:14" ht="15" hidden="1" customHeight="1" outlineLevel="1" thickTop="1" thickBot="1">
      <c r="C143" s="466"/>
      <c r="D143" s="100"/>
      <c r="E143" s="461"/>
      <c r="F143" s="461"/>
      <c r="G143" s="461"/>
      <c r="H143" s="461"/>
      <c r="I143" s="461"/>
      <c r="J143" s="461"/>
      <c r="K143" s="461"/>
      <c r="L143" s="461"/>
      <c r="M143" s="461"/>
      <c r="N143" s="462"/>
    </row>
    <row r="144" spans="3:14" ht="15" customHeight="1" collapsed="1" thickTop="1" thickBot="1">
      <c r="C144" s="466"/>
      <c r="D144" s="101" t="s">
        <v>363</v>
      </c>
      <c r="E144" s="483">
        <v>500</v>
      </c>
      <c r="F144" s="483"/>
      <c r="G144" s="483"/>
      <c r="H144" s="483"/>
      <c r="I144" s="483"/>
      <c r="J144" s="483"/>
      <c r="K144" s="483"/>
      <c r="L144" s="483"/>
      <c r="M144" s="483"/>
      <c r="N144" s="484"/>
    </row>
    <row r="145" spans="3:14" ht="33" customHeight="1" thickTop="1" thickBot="1">
      <c r="C145" s="466"/>
      <c r="D145" s="49" t="s">
        <v>364</v>
      </c>
      <c r="E145" s="485">
        <f>(E138+E139)*10000*E144</f>
        <v>1296000</v>
      </c>
      <c r="F145" s="485"/>
      <c r="G145" s="485"/>
      <c r="H145" s="485"/>
      <c r="I145" s="485"/>
      <c r="J145" s="485"/>
      <c r="K145" s="485"/>
      <c r="L145" s="485"/>
      <c r="M145" s="485"/>
      <c r="N145" s="474"/>
    </row>
    <row r="146" spans="3:14" ht="15" hidden="1" customHeight="1" outlineLevel="1" thickTop="1" thickBot="1">
      <c r="C146" s="466"/>
      <c r="D146" s="102"/>
      <c r="E146" s="486"/>
      <c r="F146" s="486"/>
      <c r="G146" s="486"/>
      <c r="H146" s="486"/>
      <c r="I146" s="486"/>
      <c r="J146" s="486"/>
      <c r="K146" s="486"/>
      <c r="L146" s="486"/>
      <c r="M146" s="486"/>
      <c r="N146" s="487"/>
    </row>
    <row r="147" spans="3:14" ht="15" hidden="1" customHeight="1" outlineLevel="1" thickTop="1" thickBot="1">
      <c r="C147" s="466"/>
      <c r="D147" s="103" t="s">
        <v>365</v>
      </c>
      <c r="E147" s="470">
        <f>SUM(E148:N160)</f>
        <v>0</v>
      </c>
      <c r="F147" s="470"/>
      <c r="G147" s="470"/>
      <c r="H147" s="470"/>
      <c r="I147" s="470"/>
      <c r="J147" s="470"/>
      <c r="K147" s="470"/>
      <c r="L147" s="470"/>
      <c r="M147" s="470"/>
      <c r="N147" s="471"/>
    </row>
    <row r="148" spans="3:14" ht="15" hidden="1" customHeight="1" outlineLevel="1" thickTop="1" thickBot="1">
      <c r="C148" s="466"/>
      <c r="D148" s="99" t="s">
        <v>366</v>
      </c>
      <c r="E148" s="476">
        <v>0</v>
      </c>
      <c r="F148" s="476"/>
      <c r="G148" s="476"/>
      <c r="H148" s="476"/>
      <c r="I148" s="476"/>
      <c r="J148" s="476"/>
      <c r="K148" s="476"/>
      <c r="L148" s="476"/>
      <c r="M148" s="476"/>
      <c r="N148" s="477"/>
    </row>
    <row r="149" spans="3:14" ht="15" hidden="1" customHeight="1" outlineLevel="1" thickTop="1" thickBot="1">
      <c r="C149" s="466"/>
      <c r="D149" s="99" t="s">
        <v>367</v>
      </c>
      <c r="E149" s="476">
        <v>0</v>
      </c>
      <c r="F149" s="476"/>
      <c r="G149" s="476"/>
      <c r="H149" s="476"/>
      <c r="I149" s="476"/>
      <c r="J149" s="476"/>
      <c r="K149" s="476"/>
      <c r="L149" s="476"/>
      <c r="M149" s="476"/>
      <c r="N149" s="477"/>
    </row>
    <row r="150" spans="3:14" ht="15" hidden="1" customHeight="1" outlineLevel="1" thickTop="1" thickBot="1">
      <c r="C150" s="466"/>
      <c r="D150" s="99" t="s">
        <v>368</v>
      </c>
      <c r="E150" s="476">
        <v>0</v>
      </c>
      <c r="F150" s="476"/>
      <c r="G150" s="476"/>
      <c r="H150" s="476"/>
      <c r="I150" s="476"/>
      <c r="J150" s="476"/>
      <c r="K150" s="476"/>
      <c r="L150" s="476"/>
      <c r="M150" s="476"/>
      <c r="N150" s="477"/>
    </row>
    <row r="151" spans="3:14" ht="15" hidden="1" customHeight="1" outlineLevel="1" thickTop="1" thickBot="1">
      <c r="C151" s="466"/>
      <c r="D151" s="99" t="s">
        <v>369</v>
      </c>
      <c r="E151" s="476">
        <v>0</v>
      </c>
      <c r="F151" s="476"/>
      <c r="G151" s="476"/>
      <c r="H151" s="476"/>
      <c r="I151" s="476"/>
      <c r="J151" s="476"/>
      <c r="K151" s="476"/>
      <c r="L151" s="476"/>
      <c r="M151" s="476"/>
      <c r="N151" s="477"/>
    </row>
    <row r="152" spans="3:14" ht="15" hidden="1" customHeight="1" outlineLevel="1" thickTop="1" thickBot="1">
      <c r="C152" s="466"/>
      <c r="D152" s="99" t="s">
        <v>370</v>
      </c>
      <c r="E152" s="476">
        <v>0</v>
      </c>
      <c r="F152" s="476"/>
      <c r="G152" s="476"/>
      <c r="H152" s="476"/>
      <c r="I152" s="476"/>
      <c r="J152" s="476"/>
      <c r="K152" s="476"/>
      <c r="L152" s="476"/>
      <c r="M152" s="476"/>
      <c r="N152" s="477"/>
    </row>
    <row r="153" spans="3:14" ht="15" hidden="1" customHeight="1" outlineLevel="1" thickTop="1" thickBot="1">
      <c r="C153" s="466"/>
      <c r="D153" s="99" t="s">
        <v>371</v>
      </c>
      <c r="E153" s="476">
        <v>0</v>
      </c>
      <c r="F153" s="476"/>
      <c r="G153" s="476"/>
      <c r="H153" s="476"/>
      <c r="I153" s="476"/>
      <c r="J153" s="476"/>
      <c r="K153" s="476"/>
      <c r="L153" s="476"/>
      <c r="M153" s="476"/>
      <c r="N153" s="477"/>
    </row>
    <row r="154" spans="3:14" ht="15" hidden="1" customHeight="1" outlineLevel="1" thickTop="1" thickBot="1">
      <c r="C154" s="466"/>
      <c r="D154" s="99" t="s">
        <v>372</v>
      </c>
      <c r="E154" s="476">
        <v>0</v>
      </c>
      <c r="F154" s="476"/>
      <c r="G154" s="476"/>
      <c r="H154" s="476"/>
      <c r="I154" s="476"/>
      <c r="J154" s="476"/>
      <c r="K154" s="476"/>
      <c r="L154" s="476"/>
      <c r="M154" s="476"/>
      <c r="N154" s="477"/>
    </row>
    <row r="155" spans="3:14" ht="15" hidden="1" customHeight="1" outlineLevel="1" thickTop="1" thickBot="1">
      <c r="C155" s="466"/>
      <c r="D155" s="99" t="s">
        <v>373</v>
      </c>
      <c r="E155" s="476">
        <v>0</v>
      </c>
      <c r="F155" s="476"/>
      <c r="G155" s="476"/>
      <c r="H155" s="476"/>
      <c r="I155" s="476"/>
      <c r="J155" s="476"/>
      <c r="K155" s="476"/>
      <c r="L155" s="476"/>
      <c r="M155" s="476"/>
      <c r="N155" s="477"/>
    </row>
    <row r="156" spans="3:14" ht="15" hidden="1" customHeight="1" outlineLevel="1" thickTop="1" thickBot="1">
      <c r="C156" s="466"/>
      <c r="D156" s="99" t="s">
        <v>374</v>
      </c>
      <c r="E156" s="476">
        <v>0</v>
      </c>
      <c r="F156" s="476"/>
      <c r="G156" s="476"/>
      <c r="H156" s="476"/>
      <c r="I156" s="476"/>
      <c r="J156" s="476"/>
      <c r="K156" s="476"/>
      <c r="L156" s="476"/>
      <c r="M156" s="476"/>
      <c r="N156" s="477"/>
    </row>
    <row r="157" spans="3:14" ht="15" hidden="1" customHeight="1" outlineLevel="1" thickTop="1" thickBot="1">
      <c r="C157" s="466"/>
      <c r="D157" s="99" t="s">
        <v>375</v>
      </c>
      <c r="E157" s="476">
        <v>0</v>
      </c>
      <c r="F157" s="476"/>
      <c r="G157" s="476"/>
      <c r="H157" s="476"/>
      <c r="I157" s="476"/>
      <c r="J157" s="476"/>
      <c r="K157" s="476"/>
      <c r="L157" s="476"/>
      <c r="M157" s="476"/>
      <c r="N157" s="477"/>
    </row>
    <row r="158" spans="3:14" ht="15" hidden="1" customHeight="1" outlineLevel="1" thickTop="1" thickBot="1">
      <c r="C158" s="466"/>
      <c r="D158" s="99" t="s">
        <v>376</v>
      </c>
      <c r="E158" s="476">
        <v>0</v>
      </c>
      <c r="F158" s="476"/>
      <c r="G158" s="476"/>
      <c r="H158" s="476"/>
      <c r="I158" s="476"/>
      <c r="J158" s="476"/>
      <c r="K158" s="476"/>
      <c r="L158" s="476"/>
      <c r="M158" s="476"/>
      <c r="N158" s="477"/>
    </row>
    <row r="159" spans="3:14" ht="15" hidden="1" customHeight="1" outlineLevel="1" thickTop="1" thickBot="1">
      <c r="C159" s="466"/>
      <c r="D159" s="99" t="s">
        <v>377</v>
      </c>
      <c r="E159" s="476">
        <v>0</v>
      </c>
      <c r="F159" s="476"/>
      <c r="G159" s="476"/>
      <c r="H159" s="476"/>
      <c r="I159" s="476"/>
      <c r="J159" s="476"/>
      <c r="K159" s="476"/>
      <c r="L159" s="476"/>
      <c r="M159" s="476"/>
      <c r="N159" s="477"/>
    </row>
    <row r="160" spans="3:14" ht="15" hidden="1" customHeight="1" outlineLevel="1" thickTop="1" thickBot="1">
      <c r="C160" s="466"/>
      <c r="D160" s="100" t="s">
        <v>378</v>
      </c>
      <c r="E160" s="478">
        <v>0</v>
      </c>
      <c r="F160" s="478"/>
      <c r="G160" s="478"/>
      <c r="H160" s="478"/>
      <c r="I160" s="478"/>
      <c r="J160" s="478"/>
      <c r="K160" s="478"/>
      <c r="L160" s="478"/>
      <c r="M160" s="478"/>
      <c r="N160" s="479"/>
    </row>
    <row r="161" spans="3:14" ht="27" hidden="1" customHeight="1" outlineLevel="1" thickTop="1" thickBot="1">
      <c r="C161" s="466"/>
      <c r="D161" s="104" t="s">
        <v>379</v>
      </c>
      <c r="E161" s="480">
        <f>E106-1</f>
        <v>5</v>
      </c>
      <c r="F161" s="481"/>
      <c r="G161" s="481"/>
      <c r="H161" s="481"/>
      <c r="I161" s="481"/>
      <c r="J161" s="481"/>
      <c r="K161" s="481"/>
      <c r="L161" s="481"/>
      <c r="M161" s="481"/>
      <c r="N161" s="482"/>
    </row>
    <row r="162" spans="3:14" ht="15" hidden="1" customHeight="1" outlineLevel="1" thickTop="1" thickBot="1">
      <c r="C162" s="466"/>
      <c r="D162" s="99" t="s">
        <v>380</v>
      </c>
      <c r="E162" s="459"/>
      <c r="F162" s="459"/>
      <c r="G162" s="459"/>
      <c r="H162" s="459"/>
      <c r="I162" s="459"/>
      <c r="J162" s="459"/>
      <c r="K162" s="459"/>
      <c r="L162" s="459"/>
      <c r="M162" s="459"/>
      <c r="N162" s="460"/>
    </row>
    <row r="163" spans="3:14" ht="15" hidden="1" customHeight="1" outlineLevel="1" thickTop="1" thickBot="1">
      <c r="C163" s="466"/>
      <c r="D163" s="100" t="s">
        <v>380</v>
      </c>
      <c r="E163" s="461"/>
      <c r="F163" s="461"/>
      <c r="G163" s="461"/>
      <c r="H163" s="461"/>
      <c r="I163" s="461"/>
      <c r="J163" s="461"/>
      <c r="K163" s="461"/>
      <c r="L163" s="461"/>
      <c r="M163" s="461"/>
      <c r="N163" s="462"/>
    </row>
    <row r="164" spans="3:14" ht="33.75" hidden="1" customHeight="1" outlineLevel="1" thickTop="1" thickBot="1">
      <c r="C164" s="466"/>
      <c r="D164" s="105" t="s">
        <v>381</v>
      </c>
      <c r="E164" s="463">
        <f>MAX(E145,E147)</f>
        <v>1296000</v>
      </c>
      <c r="F164" s="464"/>
      <c r="G164" s="464"/>
      <c r="H164" s="464"/>
      <c r="I164" s="464"/>
      <c r="J164" s="464"/>
      <c r="K164" s="464"/>
      <c r="L164" s="464"/>
      <c r="M164" s="464"/>
      <c r="N164" s="465"/>
    </row>
    <row r="165" spans="3:14" ht="35.25" collapsed="1" thickTop="1" thickBot="1">
      <c r="C165" s="466">
        <v>7</v>
      </c>
      <c r="D165" s="467" t="s">
        <v>382</v>
      </c>
      <c r="E165" s="468"/>
      <c r="F165" s="468"/>
      <c r="G165" s="468"/>
      <c r="H165" s="468"/>
      <c r="I165" s="468"/>
      <c r="J165" s="468"/>
      <c r="K165" s="468"/>
      <c r="L165" s="468"/>
      <c r="M165" s="468"/>
      <c r="N165" s="469"/>
    </row>
    <row r="166" spans="3:14" s="107" customFormat="1" ht="19.5" collapsed="1" thickTop="1" thickBot="1">
      <c r="C166" s="466"/>
      <c r="D166" s="106" t="s">
        <v>383</v>
      </c>
      <c r="E166" s="470">
        <f>'[39]Project Cost (2)'!F18</f>
        <v>7365322.7255111439</v>
      </c>
      <c r="F166" s="470"/>
      <c r="G166" s="470"/>
      <c r="H166" s="470"/>
      <c r="I166" s="470"/>
      <c r="J166" s="470"/>
      <c r="K166" s="470"/>
      <c r="L166" s="470"/>
      <c r="M166" s="470"/>
      <c r="N166" s="471"/>
    </row>
    <row r="167" spans="3:14" s="107" customFormat="1" ht="57.75" customHeight="1" thickTop="1" thickBot="1">
      <c r="C167" s="466"/>
      <c r="D167" s="108" t="str">
        <f>'[39]Project Cost (2)'!C6</f>
        <v>Показатели</v>
      </c>
      <c r="E167" s="109" t="str">
        <f>'[39]Project Cost (2)'!D6</f>
        <v>Затраты в национальной валюте</v>
      </c>
      <c r="F167" s="109" t="str">
        <f>'[39]Project Cost (2)'!E6</f>
        <v>Затраты в СКВ</v>
      </c>
      <c r="G167" s="109" t="str">
        <f>'[39]Project Cost (2)'!F6</f>
        <v xml:space="preserve">Всего </v>
      </c>
      <c r="H167" s="109" t="str">
        <f>'[39]Project Cost (2)'!G6</f>
        <v xml:space="preserve">Структура </v>
      </c>
      <c r="I167" s="472"/>
      <c r="J167" s="472"/>
      <c r="K167" s="109" t="str">
        <f>'[39]Project Cost (2)'!J6</f>
        <v xml:space="preserve">Займы или кредиты </v>
      </c>
      <c r="L167" s="109" t="str">
        <f>'[39]Project Cost (2)'!L7</f>
        <v>Местный инвестор</v>
      </c>
      <c r="M167" s="109" t="str">
        <f>'[39]Project Cost (2)'!M7</f>
        <v>Иностранный инвестор</v>
      </c>
      <c r="N167" s="474"/>
    </row>
    <row r="168" spans="3:14" s="107" customFormat="1" ht="18" customHeight="1" thickTop="1" thickBot="1">
      <c r="C168" s="466"/>
      <c r="D168" s="99" t="str">
        <f>'[39]Project Cost (2)'!C8</f>
        <v>Проектирование</v>
      </c>
      <c r="E168" s="68">
        <f>'[39]Project Cost (2)'!D8</f>
        <v>64800</v>
      </c>
      <c r="F168" s="68">
        <f>'[39]Project Cost (2)'!E8</f>
        <v>0</v>
      </c>
      <c r="G168" s="68">
        <f>'[39]Project Cost (2)'!F8</f>
        <v>64800</v>
      </c>
      <c r="H168" s="110">
        <f>G168/$G$178</f>
        <v>8.7979851548871495E-3</v>
      </c>
      <c r="I168" s="472"/>
      <c r="J168" s="472"/>
      <c r="K168" s="68">
        <f>'[39]Project Cost (2)'!J8+'[39]Project Cost (2)'!K8</f>
        <v>0</v>
      </c>
      <c r="L168" s="68">
        <f>'[39]Project Cost (2)'!L8</f>
        <v>64800</v>
      </c>
      <c r="M168" s="68">
        <f>'[39]Project Cost (2)'!M8</f>
        <v>0</v>
      </c>
      <c r="N168" s="474"/>
    </row>
    <row r="169" spans="3:14" s="107" customFormat="1" ht="30" customHeight="1" thickTop="1" thickBot="1">
      <c r="C169" s="466"/>
      <c r="D169" s="99" t="str">
        <f>'[39]Project Cost (2)'!C9</f>
        <v>Здания, сооружения, земля</v>
      </c>
      <c r="E169" s="68">
        <f>'[39]Project Cost (2)'!D9</f>
        <v>1296000</v>
      </c>
      <c r="F169" s="68">
        <f>'[39]Project Cost (2)'!E9</f>
        <v>0</v>
      </c>
      <c r="G169" s="68">
        <f>'[39]Project Cost (2)'!F9</f>
        <v>1296000</v>
      </c>
      <c r="H169" s="110">
        <f t="shared" ref="H169:H178" si="2">G169/$G$178</f>
        <v>0.17595970309774298</v>
      </c>
      <c r="I169" s="472"/>
      <c r="J169" s="472"/>
      <c r="K169" s="68">
        <f>'[39]Project Cost (2)'!J9+'[39]Project Cost (2)'!K9</f>
        <v>0</v>
      </c>
      <c r="L169" s="68">
        <f>'[39]Project Cost (2)'!L9</f>
        <v>1296000</v>
      </c>
      <c r="M169" s="68">
        <f>'[39]Project Cost (2)'!M9</f>
        <v>0</v>
      </c>
      <c r="N169" s="474"/>
    </row>
    <row r="170" spans="3:14" s="107" customFormat="1" ht="30" customHeight="1" thickTop="1" thickBot="1">
      <c r="C170" s="466"/>
      <c r="D170" s="99" t="str">
        <f>'[39]Project Cost (2)'!C10</f>
        <v>Основное оборудование</v>
      </c>
      <c r="E170" s="68">
        <f>'[39]Project Cost (2)'!D10</f>
        <v>0</v>
      </c>
      <c r="F170" s="68">
        <f>'[39]Project Cost (2)'!E10</f>
        <v>2838017.8926825034</v>
      </c>
      <c r="G170" s="68">
        <f>'[39]Project Cost (2)'!F10</f>
        <v>2838017.8926825034</v>
      </c>
      <c r="H170" s="110">
        <f t="shared" si="2"/>
        <v>0.38532159396797494</v>
      </c>
      <c r="I170" s="472"/>
      <c r="J170" s="472"/>
      <c r="K170" s="68">
        <f>'[39]Project Cost (2)'!J10+'[39]Project Cost (2)'!K10</f>
        <v>0</v>
      </c>
      <c r="L170" s="68">
        <f>'[39]Project Cost (2)'!L10</f>
        <v>0</v>
      </c>
      <c r="M170" s="68">
        <f>'[39]Project Cost (2)'!M10</f>
        <v>2838017.8926825034</v>
      </c>
      <c r="N170" s="474"/>
    </row>
    <row r="171" spans="3:14" s="107" customFormat="1" ht="18" customHeight="1" thickTop="1" thickBot="1">
      <c r="C171" s="466"/>
      <c r="D171" s="99" t="str">
        <f>'[39]Project Cost (2)'!C11</f>
        <v>Вспомогательное оборудование</v>
      </c>
      <c r="E171" s="68">
        <f>'[39]Project Cost (2)'!D11</f>
        <v>851405.36780475103</v>
      </c>
      <c r="F171" s="68">
        <f>'[39]Project Cost (2)'!E11</f>
        <v>0</v>
      </c>
      <c r="G171" s="68">
        <f>'[39]Project Cost (2)'!F11</f>
        <v>851405.36780475103</v>
      </c>
      <c r="H171" s="110">
        <f t="shared" si="2"/>
        <v>0.11559647819039248</v>
      </c>
      <c r="I171" s="472"/>
      <c r="J171" s="472"/>
      <c r="K171" s="68">
        <f>'[39]Project Cost (2)'!J11+'[39]Project Cost (2)'!K11</f>
        <v>0</v>
      </c>
      <c r="L171" s="68">
        <f>'[39]Project Cost (2)'!L11</f>
        <v>0</v>
      </c>
      <c r="M171" s="68">
        <f>'[39]Project Cost (2)'!M11</f>
        <v>851405.36780475103</v>
      </c>
      <c r="N171" s="474"/>
    </row>
    <row r="172" spans="3:14" s="107" customFormat="1" ht="30" customHeight="1" thickTop="1" thickBot="1">
      <c r="C172" s="466"/>
      <c r="D172" s="99" t="str">
        <f>'[39]Project Cost (2)'!C12</f>
        <v>Транспортные расходы, шеф-монтаж, обучение</v>
      </c>
      <c r="E172" s="68">
        <f>'[39]Project Cost (2)'!D12</f>
        <v>0</v>
      </c>
      <c r="F172" s="68">
        <f>'[39]Project Cost (2)'!E12</f>
        <v>198661.25248777526</v>
      </c>
      <c r="G172" s="68">
        <f>'[39]Project Cost (2)'!F12</f>
        <v>198661.25248777526</v>
      </c>
      <c r="H172" s="110">
        <f t="shared" si="2"/>
        <v>2.6972511577758249E-2</v>
      </c>
      <c r="I172" s="472"/>
      <c r="J172" s="472"/>
      <c r="K172" s="68">
        <f>'[39]Project Cost (2)'!J12+'[39]Project Cost (2)'!K12</f>
        <v>0</v>
      </c>
      <c r="L172" s="68">
        <f>'[39]Project Cost (2)'!L12</f>
        <v>0</v>
      </c>
      <c r="M172" s="68">
        <f>'[39]Project Cost (2)'!M12</f>
        <v>198661.25248777526</v>
      </c>
      <c r="N172" s="474"/>
    </row>
    <row r="173" spans="3:14" s="107" customFormat="1" ht="18" customHeight="1" thickTop="1" thickBot="1">
      <c r="C173" s="466"/>
      <c r="D173" s="99" t="str">
        <f>'[39]Project Cost (2)'!C13</f>
        <v xml:space="preserve">Прочие фиксированные активы </v>
      </c>
      <c r="E173" s="68">
        <f>'[39]Project Cost (2)'!D13</f>
        <v>214740.53678047509</v>
      </c>
      <c r="F173" s="68">
        <f>'[39]Project Cost (2)'!E13</f>
        <v>303667.91451702791</v>
      </c>
      <c r="G173" s="68">
        <f>'[39]Project Cost (2)'!F13</f>
        <v>518408.45129750296</v>
      </c>
      <c r="H173" s="110">
        <f t="shared" si="2"/>
        <v>7.0385028683386863E-2</v>
      </c>
      <c r="I173" s="472"/>
      <c r="J173" s="472"/>
      <c r="K173" s="68">
        <f>'[39]Project Cost (2)'!J13+'[39]Project Cost (2)'!K13</f>
        <v>0</v>
      </c>
      <c r="L173" s="68">
        <f>'[39]Project Cost (2)'!L13</f>
        <v>0</v>
      </c>
      <c r="M173" s="68">
        <f>'[39]Project Cost (2)'!M13</f>
        <v>518408.45129750296</v>
      </c>
      <c r="N173" s="474"/>
    </row>
    <row r="174" spans="3:14" s="107" customFormat="1" ht="18" customHeight="1" thickTop="1" thickBot="1">
      <c r="C174" s="466"/>
      <c r="D174" s="99" t="str">
        <f>'[39]Project Cost (2)'!C14</f>
        <v>Всего Фиксированные Активы</v>
      </c>
      <c r="E174" s="68">
        <f>'[39]Project Cost (2)'!D14</f>
        <v>2426945.904585226</v>
      </c>
      <c r="F174" s="68">
        <f>'[39]Project Cost (2)'!E14</f>
        <v>3340347.0596873066</v>
      </c>
      <c r="G174" s="68">
        <f>'[39]Project Cost (2)'!F14</f>
        <v>5767292.9642725326</v>
      </c>
      <c r="H174" s="110">
        <f t="shared" si="2"/>
        <v>0.78303330067214261</v>
      </c>
      <c r="I174" s="472"/>
      <c r="J174" s="472"/>
      <c r="K174" s="68">
        <f>'[39]Project Cost (2)'!J14+'[39]Project Cost (2)'!K14</f>
        <v>0</v>
      </c>
      <c r="L174" s="68">
        <f>'[39]Project Cost (2)'!L14</f>
        <v>1360800</v>
      </c>
      <c r="M174" s="68">
        <f>'[39]Project Cost (2)'!M14</f>
        <v>4406492.9642725326</v>
      </c>
      <c r="N174" s="474"/>
    </row>
    <row r="175" spans="3:14" s="107" customFormat="1" ht="18" customHeight="1" thickTop="1" thickBot="1">
      <c r="C175" s="466"/>
      <c r="D175" s="99" t="str">
        <f>'[39]Project Cost (2)'!C15</f>
        <v>структура</v>
      </c>
      <c r="E175" s="110">
        <f>'[39]Project Cost (2)'!D15</f>
        <v>0.42081196839137042</v>
      </c>
      <c r="F175" s="110">
        <f>'[39]Project Cost (2)'!E15</f>
        <v>0.57918803160862964</v>
      </c>
      <c r="G175" s="110">
        <f>'[39]Project Cost (2)'!F15</f>
        <v>1</v>
      </c>
      <c r="H175" s="110">
        <f t="shared" si="2"/>
        <v>1.3577137584702391E-7</v>
      </c>
      <c r="I175" s="472"/>
      <c r="J175" s="472"/>
      <c r="K175" s="68">
        <f>'[39]Project Cost (2)'!J15+'[39]Project Cost (2)'!K15</f>
        <v>0</v>
      </c>
      <c r="L175" s="68">
        <f>'[39]Project Cost (2)'!L15</f>
        <v>0.23595125276796944</v>
      </c>
      <c r="M175" s="68">
        <f>'[39]Project Cost (2)'!M15</f>
        <v>0.76404874723203053</v>
      </c>
      <c r="N175" s="474"/>
    </row>
    <row r="176" spans="3:14" s="107" customFormat="1" ht="30" customHeight="1" thickTop="1" thickBot="1">
      <c r="C176" s="466"/>
      <c r="D176" s="99" t="str">
        <f>'[39]Project Cost (2)'!C16</f>
        <v>Запасы сырья и материалов</v>
      </c>
      <c r="E176" s="68">
        <f>'[39]Project Cost (2)'!D16</f>
        <v>1021300.4648113579</v>
      </c>
      <c r="F176" s="68">
        <f>'[39]Project Cost (2)'!E16</f>
        <v>0</v>
      </c>
      <c r="G176" s="68">
        <f>'[39]Project Cost (2)'!F16</f>
        <v>1021300.4648113579</v>
      </c>
      <c r="H176" s="110">
        <f t="shared" si="2"/>
        <v>0.1386633692606431</v>
      </c>
      <c r="I176" s="472"/>
      <c r="J176" s="472"/>
      <c r="K176" s="68">
        <f>'[39]Project Cost (2)'!J16+'[39]Project Cost (2)'!K16</f>
        <v>0</v>
      </c>
      <c r="L176" s="68">
        <f>'[39]Project Cost (2)'!L16</f>
        <v>1021300.4648113579</v>
      </c>
      <c r="M176" s="68">
        <f>'[39]Project Cost (2)'!M16</f>
        <v>0</v>
      </c>
      <c r="N176" s="474"/>
    </row>
    <row r="177" spans="3:14" s="107" customFormat="1" ht="18" customHeight="1" thickTop="1" thickBot="1">
      <c r="C177" s="466"/>
      <c r="D177" s="99" t="str">
        <f>'[39]Project Cost (2)'!C17</f>
        <v>Финансовые издержки</v>
      </c>
      <c r="E177" s="68">
        <f>'[39]Project Cost (2)'!D17</f>
        <v>242694.59045852261</v>
      </c>
      <c r="F177" s="68">
        <f>'[39]Project Cost (2)'!E17</f>
        <v>334034.70596873068</v>
      </c>
      <c r="G177" s="68">
        <f>'[39]Project Cost (2)'!F17</f>
        <v>576729.29642725328</v>
      </c>
      <c r="H177" s="110">
        <f t="shared" si="2"/>
        <v>7.8303330067214266E-2</v>
      </c>
      <c r="I177" s="472"/>
      <c r="J177" s="472"/>
      <c r="K177" s="68">
        <f>'[39]Project Cost (2)'!J17+'[39]Project Cost (2)'!K17</f>
        <v>0</v>
      </c>
      <c r="L177" s="68">
        <f>'[39]Project Cost (2)'!L17</f>
        <v>0</v>
      </c>
      <c r="M177" s="68">
        <f>'[39]Project Cost (2)'!M17</f>
        <v>576729.29642725328</v>
      </c>
      <c r="N177" s="474"/>
    </row>
    <row r="178" spans="3:14" s="107" customFormat="1" ht="18" customHeight="1" thickTop="1" thickBot="1">
      <c r="C178" s="466"/>
      <c r="D178" s="99" t="str">
        <f>'[39]Project Cost (2)'!C18</f>
        <v>ВСЕГО ПЕРВОНАЧАЛЬНАЯ СТОИМОСТЬ ПРОЕКТА</v>
      </c>
      <c r="E178" s="68">
        <f>'[39]Project Cost (2)'!D18</f>
        <v>3690940.9598551067</v>
      </c>
      <c r="F178" s="68">
        <f>'[39]Project Cost (2)'!E18</f>
        <v>3674381.7656560373</v>
      </c>
      <c r="G178" s="68">
        <f>'[39]Project Cost (2)'!F18</f>
        <v>7365322.7255111439</v>
      </c>
      <c r="H178" s="110">
        <f t="shared" si="2"/>
        <v>1</v>
      </c>
      <c r="I178" s="472"/>
      <c r="J178" s="472"/>
      <c r="K178" s="68">
        <f>'[39]Project Cost (2)'!J18+'[39]Project Cost (2)'!K18</f>
        <v>0</v>
      </c>
      <c r="L178" s="68">
        <f>'[39]Project Cost (2)'!L18</f>
        <v>2382100.4648113577</v>
      </c>
      <c r="M178" s="68">
        <f>'[39]Project Cost (2)'!M18</f>
        <v>4983222.2606997862</v>
      </c>
      <c r="N178" s="474"/>
    </row>
    <row r="179" spans="3:14" s="107" customFormat="1" ht="18" customHeight="1" thickTop="1" thickBot="1">
      <c r="C179" s="466"/>
      <c r="D179" s="100" t="str">
        <f>'[39]Project Cost (2)'!C19</f>
        <v>Структура</v>
      </c>
      <c r="E179" s="111">
        <f>'[39]Project Cost (2)'!D19</f>
        <v>0.5011241322896629</v>
      </c>
      <c r="F179" s="111">
        <f>'[39]Project Cost (2)'!E19</f>
        <v>0.49887586771033715</v>
      </c>
      <c r="G179" s="111">
        <f>'[39]Project Cost (2)'!F19</f>
        <v>1</v>
      </c>
      <c r="H179" s="111">
        <f>'[39]Project Cost (2)'!G19</f>
        <v>0</v>
      </c>
      <c r="I179" s="473"/>
      <c r="J179" s="473"/>
      <c r="K179" s="111">
        <f>'[39]Project Cost (2)'!J19+'[39]Project Cost (2)'!K19</f>
        <v>0</v>
      </c>
      <c r="L179" s="111">
        <f>'[39]Project Cost (2)'!L19</f>
        <v>0.32342105751327316</v>
      </c>
      <c r="M179" s="111">
        <f>'[39]Project Cost (2)'!M19</f>
        <v>0.67657894248672679</v>
      </c>
      <c r="N179" s="475"/>
    </row>
    <row r="180" spans="3:14" s="107" customFormat="1" ht="19.5" thickTop="1" thickBot="1">
      <c r="C180" s="466"/>
      <c r="D180" s="103" t="s">
        <v>384</v>
      </c>
      <c r="E180" s="470">
        <f>'[39]Project Cost (2)'!L18+'[39]Project Cost (2)'!M18</f>
        <v>7365322.7255111439</v>
      </c>
      <c r="F180" s="470"/>
      <c r="G180" s="470"/>
      <c r="H180" s="470"/>
      <c r="I180" s="470"/>
      <c r="J180" s="470"/>
      <c r="K180" s="470"/>
      <c r="L180" s="470"/>
      <c r="M180" s="470"/>
      <c r="N180" s="471"/>
    </row>
    <row r="181" spans="3:14" s="107" customFormat="1" ht="19.5" thickTop="1" thickBot="1">
      <c r="C181" s="466"/>
      <c r="D181" s="99" t="s">
        <v>385</v>
      </c>
      <c r="E181" s="455">
        <f>'[39]Project Cost (2)'!L18</f>
        <v>2382100.4648113577</v>
      </c>
      <c r="F181" s="455"/>
      <c r="G181" s="455"/>
      <c r="H181" s="455"/>
      <c r="I181" s="455"/>
      <c r="J181" s="455"/>
      <c r="K181" s="455"/>
      <c r="L181" s="455"/>
      <c r="M181" s="455"/>
      <c r="N181" s="456"/>
    </row>
    <row r="182" spans="3:14" s="107" customFormat="1" ht="19.5" thickTop="1" thickBot="1">
      <c r="C182" s="466"/>
      <c r="D182" s="99" t="s">
        <v>386</v>
      </c>
      <c r="E182" s="455">
        <f>'[39]Project Cost (2)'!M18</f>
        <v>4983222.2606997862</v>
      </c>
      <c r="F182" s="455"/>
      <c r="G182" s="455"/>
      <c r="H182" s="455"/>
      <c r="I182" s="455"/>
      <c r="J182" s="455"/>
      <c r="K182" s="455"/>
      <c r="L182" s="455"/>
      <c r="M182" s="455"/>
      <c r="N182" s="456"/>
    </row>
    <row r="183" spans="3:14" s="107" customFormat="1" ht="19.5" thickTop="1" thickBot="1">
      <c r="C183" s="466"/>
      <c r="D183" s="112" t="s">
        <v>387</v>
      </c>
      <c r="E183" s="457">
        <f>'[39]Project Cost (2)'!J18+'[39]Project Cost (2)'!K18</f>
        <v>0</v>
      </c>
      <c r="F183" s="457"/>
      <c r="G183" s="457"/>
      <c r="H183" s="457"/>
      <c r="I183" s="457"/>
      <c r="J183" s="457"/>
      <c r="K183" s="457"/>
      <c r="L183" s="457"/>
      <c r="M183" s="457"/>
      <c r="N183" s="458"/>
    </row>
    <row r="184" spans="3:14" s="107" customFormat="1" ht="19.5" hidden="1" outlineLevel="1" thickTop="1" thickBot="1">
      <c r="C184" s="466"/>
      <c r="D184" s="104" t="s">
        <v>388</v>
      </c>
      <c r="E184" s="447" t="s">
        <v>389</v>
      </c>
      <c r="F184" s="449"/>
      <c r="G184" s="449"/>
      <c r="H184" s="449"/>
      <c r="I184" s="448"/>
      <c r="J184" s="447" t="s">
        <v>390</v>
      </c>
      <c r="K184" s="449"/>
      <c r="L184" s="449"/>
      <c r="M184" s="449"/>
      <c r="N184" s="450"/>
    </row>
    <row r="185" spans="3:14" s="107" customFormat="1" ht="19.5" hidden="1" outlineLevel="1" thickTop="1" thickBot="1">
      <c r="C185" s="466"/>
      <c r="D185" s="49" t="s">
        <v>391</v>
      </c>
      <c r="E185" s="445">
        <f>E183*0.5</f>
        <v>0</v>
      </c>
      <c r="F185" s="451"/>
      <c r="G185" s="451"/>
      <c r="H185" s="451"/>
      <c r="I185" s="446"/>
      <c r="J185" s="435">
        <f>E183*0.5</f>
        <v>0</v>
      </c>
      <c r="K185" s="437"/>
      <c r="L185" s="437"/>
      <c r="M185" s="437"/>
      <c r="N185" s="438"/>
    </row>
    <row r="186" spans="3:14" s="107" customFormat="1" ht="19.5" hidden="1" outlineLevel="1" thickTop="1" thickBot="1">
      <c r="C186" s="466"/>
      <c r="D186" s="49" t="s">
        <v>392</v>
      </c>
      <c r="E186" s="445">
        <f>E106</f>
        <v>6</v>
      </c>
      <c r="F186" s="451"/>
      <c r="G186" s="451"/>
      <c r="H186" s="451"/>
      <c r="I186" s="446"/>
      <c r="J186" s="445">
        <f>E106</f>
        <v>6</v>
      </c>
      <c r="K186" s="451"/>
      <c r="L186" s="451"/>
      <c r="M186" s="451"/>
      <c r="N186" s="452"/>
    </row>
    <row r="187" spans="3:14" s="107" customFormat="1" ht="19.5" hidden="1" outlineLevel="1" thickTop="1" thickBot="1">
      <c r="C187" s="466"/>
      <c r="D187" s="49" t="s">
        <v>393</v>
      </c>
      <c r="E187" s="445">
        <v>5</v>
      </c>
      <c r="F187" s="451"/>
      <c r="G187" s="451"/>
      <c r="H187" s="451"/>
      <c r="I187" s="446"/>
      <c r="J187" s="445">
        <v>5</v>
      </c>
      <c r="K187" s="451"/>
      <c r="L187" s="451"/>
      <c r="M187" s="451"/>
      <c r="N187" s="452"/>
    </row>
    <row r="188" spans="3:14" s="107" customFormat="1" ht="19.5" hidden="1" outlineLevel="1" thickTop="1" thickBot="1">
      <c r="C188" s="466"/>
      <c r="D188" s="49" t="s">
        <v>394</v>
      </c>
      <c r="E188" s="433">
        <v>7.0000000000000007E-2</v>
      </c>
      <c r="F188" s="453"/>
      <c r="G188" s="453"/>
      <c r="H188" s="453"/>
      <c r="I188" s="434"/>
      <c r="J188" s="433">
        <v>0.08</v>
      </c>
      <c r="K188" s="453"/>
      <c r="L188" s="453"/>
      <c r="M188" s="453"/>
      <c r="N188" s="454"/>
    </row>
    <row r="189" spans="3:14" s="107" customFormat="1" ht="19.5" hidden="1" outlineLevel="1" thickTop="1" thickBot="1">
      <c r="C189" s="466"/>
      <c r="D189" s="49" t="s">
        <v>395</v>
      </c>
      <c r="E189" s="435" t="s">
        <v>396</v>
      </c>
      <c r="F189" s="437"/>
      <c r="G189" s="437"/>
      <c r="H189" s="437"/>
      <c r="I189" s="437"/>
      <c r="J189" s="437"/>
      <c r="K189" s="437"/>
      <c r="L189" s="437"/>
      <c r="M189" s="437"/>
      <c r="N189" s="438"/>
    </row>
    <row r="190" spans="3:14" s="107" customFormat="1" ht="19.5" hidden="1" outlineLevel="1" thickTop="1" thickBot="1">
      <c r="C190" s="466"/>
      <c r="D190" s="113" t="s">
        <v>397</v>
      </c>
      <c r="E190" s="441"/>
      <c r="F190" s="443"/>
      <c r="G190" s="443"/>
      <c r="H190" s="443"/>
      <c r="I190" s="443"/>
      <c r="J190" s="443"/>
      <c r="K190" s="443"/>
      <c r="L190" s="443"/>
      <c r="M190" s="443"/>
      <c r="N190" s="444"/>
    </row>
    <row r="191" spans="3:14" s="107" customFormat="1" ht="19.5" hidden="1" outlineLevel="1" thickTop="1" thickBot="1">
      <c r="C191" s="466"/>
      <c r="D191" s="103" t="s">
        <v>398</v>
      </c>
      <c r="E191" s="447" t="s">
        <v>399</v>
      </c>
      <c r="F191" s="448"/>
      <c r="G191" s="447" t="s">
        <v>400</v>
      </c>
      <c r="H191" s="448"/>
      <c r="I191" s="447" t="s">
        <v>401</v>
      </c>
      <c r="J191" s="449"/>
      <c r="K191" s="449"/>
      <c r="L191" s="449"/>
      <c r="M191" s="449"/>
      <c r="N191" s="450"/>
    </row>
    <row r="192" spans="3:14" s="107" customFormat="1" ht="19.5" hidden="1" outlineLevel="1" thickTop="1" thickBot="1">
      <c r="C192" s="466"/>
      <c r="D192" s="49" t="s">
        <v>402</v>
      </c>
      <c r="E192" s="433">
        <v>0.15</v>
      </c>
      <c r="F192" s="434"/>
      <c r="G192" s="435" t="s">
        <v>338</v>
      </c>
      <c r="H192" s="436"/>
      <c r="I192" s="435">
        <v>338872000</v>
      </c>
      <c r="J192" s="437"/>
      <c r="K192" s="437"/>
      <c r="L192" s="437"/>
      <c r="M192" s="437"/>
      <c r="N192" s="438"/>
    </row>
    <row r="193" spans="3:18" s="107" customFormat="1" ht="19.5" hidden="1" outlineLevel="1" thickTop="1" thickBot="1">
      <c r="C193" s="466"/>
      <c r="D193" s="49" t="s">
        <v>403</v>
      </c>
      <c r="E193" s="433">
        <v>0.02</v>
      </c>
      <c r="F193" s="434"/>
      <c r="G193" s="435" t="s">
        <v>338</v>
      </c>
      <c r="H193" s="436"/>
      <c r="I193" s="435" t="s">
        <v>404</v>
      </c>
      <c r="J193" s="437"/>
      <c r="K193" s="437"/>
      <c r="L193" s="437"/>
      <c r="M193" s="437"/>
      <c r="N193" s="438"/>
    </row>
    <row r="194" spans="3:18" s="107" customFormat="1" ht="19.5" hidden="1" outlineLevel="1" thickTop="1" thickBot="1">
      <c r="C194" s="466"/>
      <c r="D194" s="49" t="s">
        <v>405</v>
      </c>
      <c r="E194" s="435">
        <v>20000000</v>
      </c>
      <c r="F194" s="436"/>
      <c r="G194" s="435" t="s">
        <v>338</v>
      </c>
      <c r="H194" s="436"/>
      <c r="I194" s="435" t="s">
        <v>406</v>
      </c>
      <c r="J194" s="437"/>
      <c r="K194" s="437"/>
      <c r="L194" s="437"/>
      <c r="M194" s="437"/>
      <c r="N194" s="438"/>
    </row>
    <row r="195" spans="3:18" s="107" customFormat="1" ht="19.5" hidden="1" outlineLevel="1" thickTop="1" thickBot="1">
      <c r="C195" s="466"/>
      <c r="D195" s="49"/>
      <c r="E195" s="445"/>
      <c r="F195" s="446"/>
      <c r="G195" s="435" t="s">
        <v>338</v>
      </c>
      <c r="H195" s="436"/>
      <c r="I195" s="435"/>
      <c r="J195" s="437"/>
      <c r="K195" s="437"/>
      <c r="L195" s="437"/>
      <c r="M195" s="437"/>
      <c r="N195" s="438"/>
    </row>
    <row r="196" spans="3:18" s="107" customFormat="1" ht="19.5" hidden="1" outlineLevel="1" thickTop="1" thickBot="1">
      <c r="C196" s="466"/>
      <c r="D196" s="49" t="s">
        <v>407</v>
      </c>
      <c r="E196" s="433">
        <v>0</v>
      </c>
      <c r="F196" s="434"/>
      <c r="G196" s="435" t="s">
        <v>338</v>
      </c>
      <c r="H196" s="436"/>
      <c r="I196" s="435" t="s">
        <v>408</v>
      </c>
      <c r="J196" s="437"/>
      <c r="K196" s="437"/>
      <c r="L196" s="437"/>
      <c r="M196" s="437"/>
      <c r="N196" s="438"/>
    </row>
    <row r="197" spans="3:18" s="107" customFormat="1" ht="19.5" hidden="1" outlineLevel="1" thickTop="1" thickBot="1">
      <c r="C197" s="466"/>
      <c r="D197" s="49"/>
      <c r="E197" s="433"/>
      <c r="F197" s="434"/>
      <c r="G197" s="435" t="s">
        <v>338</v>
      </c>
      <c r="H197" s="436"/>
      <c r="I197" s="435"/>
      <c r="J197" s="437"/>
      <c r="K197" s="437"/>
      <c r="L197" s="437"/>
      <c r="M197" s="437"/>
      <c r="N197" s="438"/>
    </row>
    <row r="198" spans="3:18" s="107" customFormat="1" ht="19.5" hidden="1" outlineLevel="1" thickTop="1" thickBot="1">
      <c r="C198" s="466"/>
      <c r="D198" s="49" t="s">
        <v>409</v>
      </c>
      <c r="E198" s="433">
        <v>0.15</v>
      </c>
      <c r="F198" s="434"/>
      <c r="G198" s="435" t="s">
        <v>338</v>
      </c>
      <c r="H198" s="436"/>
      <c r="I198" s="435" t="s">
        <v>410</v>
      </c>
      <c r="J198" s="437"/>
      <c r="K198" s="437"/>
      <c r="L198" s="437"/>
      <c r="M198" s="437"/>
      <c r="N198" s="438"/>
    </row>
    <row r="199" spans="3:18" s="107" customFormat="1" ht="19.5" hidden="1" outlineLevel="1" thickTop="1" thickBot="1">
      <c r="C199" s="466"/>
      <c r="D199" s="49" t="s">
        <v>411</v>
      </c>
      <c r="E199" s="433">
        <v>0</v>
      </c>
      <c r="F199" s="434"/>
      <c r="G199" s="435" t="s">
        <v>338</v>
      </c>
      <c r="H199" s="436"/>
      <c r="I199" s="435" t="s">
        <v>408</v>
      </c>
      <c r="J199" s="437"/>
      <c r="K199" s="437"/>
      <c r="L199" s="437"/>
      <c r="M199" s="437"/>
      <c r="N199" s="438"/>
    </row>
    <row r="200" spans="3:18" s="107" customFormat="1" ht="19.5" hidden="1" outlineLevel="1" thickTop="1" thickBot="1">
      <c r="C200" s="466"/>
      <c r="D200" s="112" t="s">
        <v>412</v>
      </c>
      <c r="E200" s="439">
        <v>0.01</v>
      </c>
      <c r="F200" s="440"/>
      <c r="G200" s="441" t="s">
        <v>338</v>
      </c>
      <c r="H200" s="442"/>
      <c r="I200" s="441" t="s">
        <v>408</v>
      </c>
      <c r="J200" s="443"/>
      <c r="K200" s="443"/>
      <c r="L200" s="443"/>
      <c r="M200" s="443"/>
      <c r="N200" s="444"/>
    </row>
    <row r="201" spans="3:18" s="107" customFormat="1" ht="27" customHeight="1" collapsed="1" thickTop="1" thickBot="1">
      <c r="C201" s="466"/>
      <c r="D201" s="104" t="s">
        <v>413</v>
      </c>
      <c r="E201" s="424"/>
      <c r="F201" s="424"/>
      <c r="G201" s="424"/>
      <c r="H201" s="424"/>
      <c r="I201" s="424"/>
      <c r="J201" s="424"/>
      <c r="K201" s="424"/>
      <c r="L201" s="424"/>
      <c r="M201" s="424"/>
      <c r="N201" s="425"/>
    </row>
    <row r="202" spans="3:18" s="107" customFormat="1" ht="19.5" thickTop="1" thickBot="1">
      <c r="C202" s="466"/>
      <c r="D202" s="99" t="s">
        <v>414</v>
      </c>
      <c r="E202" s="74" t="s">
        <v>415</v>
      </c>
      <c r="F202" s="74" t="s">
        <v>416</v>
      </c>
      <c r="G202" s="74" t="s">
        <v>417</v>
      </c>
      <c r="H202" s="74" t="s">
        <v>418</v>
      </c>
      <c r="I202" s="74" t="s">
        <v>419</v>
      </c>
      <c r="J202" s="74" t="s">
        <v>420</v>
      </c>
      <c r="K202" s="74" t="s">
        <v>421</v>
      </c>
      <c r="L202" s="74" t="s">
        <v>422</v>
      </c>
      <c r="M202" s="74" t="s">
        <v>423</v>
      </c>
      <c r="N202" s="114" t="s">
        <v>424</v>
      </c>
    </row>
    <row r="203" spans="3:18" s="107" customFormat="1" ht="16.5" thickTop="1" thickBot="1">
      <c r="C203" s="466"/>
      <c r="D203" s="99" t="s">
        <v>425</v>
      </c>
      <c r="E203" s="115">
        <f>'[39]NPV-IRR-PI-DPP (2)'!E11</f>
        <v>0</v>
      </c>
      <c r="F203" s="115">
        <f>'[39]NPV-IRR-PI-DPP (2)'!E12</f>
        <v>10567952.729786824</v>
      </c>
      <c r="G203" s="115">
        <f>'[39]NPV-IRR-PI-DPP (2)'!E13</f>
        <v>12681543.275744189</v>
      </c>
      <c r="H203" s="115">
        <f>'[39]NPV-IRR-PI-DPP (2)'!E14</f>
        <v>14795133.821701553</v>
      </c>
      <c r="I203" s="115">
        <f>'[39]NPV-IRR-PI-DPP (2)'!E15</f>
        <v>16908724.367658917</v>
      </c>
      <c r="J203" s="115">
        <f>'[39]NPV-IRR-PI-DPP (2)'!E16</f>
        <v>19022314.913616281</v>
      </c>
      <c r="K203" s="115">
        <f>'[39]NPV-IRR-PI-DPP (2)'!E17</f>
        <v>21135905.459573645</v>
      </c>
      <c r="L203" s="115">
        <f>'[39]NPV-IRR-PI-DPP (2)'!E18</f>
        <v>21135905.459573645</v>
      </c>
      <c r="M203" s="115">
        <f>'[39]NPV-IRR-PI-DPP (2)'!E19</f>
        <v>21135905.459573645</v>
      </c>
      <c r="N203" s="116">
        <f>'[39]NPV-IRR-PI-DPP (2)'!E20</f>
        <v>21135905.459573645</v>
      </c>
    </row>
    <row r="204" spans="3:18" s="107" customFormat="1" ht="16.5" thickTop="1" thickBot="1">
      <c r="C204" s="466"/>
      <c r="D204" s="99" t="s">
        <v>426</v>
      </c>
      <c r="E204" s="115">
        <f>'[39]NPV-IRR-PI-DPP (2)'!B11</f>
        <v>7365322.7255111439</v>
      </c>
      <c r="F204" s="115">
        <f>F203-F205</f>
        <v>8832373.27574417</v>
      </c>
      <c r="G204" s="115">
        <f t="shared" ref="G204:N204" si="3">G203-G205</f>
        <v>10598847.930893002</v>
      </c>
      <c r="H204" s="115">
        <f t="shared" si="3"/>
        <v>12365322.586041836</v>
      </c>
      <c r="I204" s="115">
        <f t="shared" si="3"/>
        <v>14131797.24119067</v>
      </c>
      <c r="J204" s="115">
        <f t="shared" si="3"/>
        <v>15898271.896339502</v>
      </c>
      <c r="K204" s="115">
        <f t="shared" si="3"/>
        <v>17664746.551488336</v>
      </c>
      <c r="L204" s="115">
        <f t="shared" si="3"/>
        <v>17664746.551488336</v>
      </c>
      <c r="M204" s="115">
        <f t="shared" si="3"/>
        <v>17664746.551488336</v>
      </c>
      <c r="N204" s="116">
        <f t="shared" si="3"/>
        <v>17664746.551488336</v>
      </c>
    </row>
    <row r="205" spans="3:18" s="107" customFormat="1" ht="16.5" thickTop="1" thickBot="1">
      <c r="C205" s="466"/>
      <c r="D205" s="99" t="s">
        <v>427</v>
      </c>
      <c r="E205" s="115">
        <f>E203-E204</f>
        <v>-7365322.7255111439</v>
      </c>
      <c r="F205" s="115">
        <f>'[39]NPV-IRR-PI-DPP (2)'!H12</f>
        <v>1735579.454042655</v>
      </c>
      <c r="G205" s="115">
        <f>'[39]NPV-IRR-PI-DPP (2)'!H13</f>
        <v>2082695.3448511858</v>
      </c>
      <c r="H205" s="115">
        <f>'[39]NPV-IRR-PI-DPP (2)'!H14</f>
        <v>2429811.2356597167</v>
      </c>
      <c r="I205" s="115">
        <f>'[39]NPV-IRR-PI-DPP (2)'!H15</f>
        <v>2776927.1264682473</v>
      </c>
      <c r="J205" s="115">
        <f>'[39]NPV-IRR-PI-DPP (2)'!H16</f>
        <v>3124043.0172767784</v>
      </c>
      <c r="K205" s="115">
        <f>'[39]NPV-IRR-PI-DPP (2)'!H17</f>
        <v>3471158.908085309</v>
      </c>
      <c r="L205" s="115">
        <f>'[39]NPV-IRR-PI-DPP (2)'!H18</f>
        <v>3471158.908085309</v>
      </c>
      <c r="M205" s="115">
        <f>'[39]NPV-IRR-PI-DPP (2)'!H19</f>
        <v>3471158.908085309</v>
      </c>
      <c r="N205" s="116">
        <f>'[39]NPV-IRR-PI-DPP (2)'!H20</f>
        <v>3471158.908085309</v>
      </c>
    </row>
    <row r="206" spans="3:18" ht="19.5" thickTop="1" thickBot="1">
      <c r="C206" s="466"/>
      <c r="D206" s="108" t="s">
        <v>428</v>
      </c>
      <c r="E206" s="426">
        <f>'[39]NPV-IRR-PI-DPP (2)'!P31</f>
        <v>46.719602563436339</v>
      </c>
      <c r="F206" s="426"/>
      <c r="G206" s="426"/>
      <c r="H206" s="426"/>
      <c r="I206" s="426"/>
      <c r="J206" s="426"/>
      <c r="K206" s="426"/>
      <c r="L206" s="426"/>
      <c r="M206" s="426"/>
      <c r="N206" s="427"/>
    </row>
    <row r="207" spans="3:18" ht="19.5" thickTop="1" thickBot="1">
      <c r="C207" s="466"/>
      <c r="D207" s="108" t="s">
        <v>146</v>
      </c>
      <c r="E207" s="428">
        <f>'[39]NPV-IRR-PI-DPP (2)'!N20</f>
        <v>0.30652290845359387</v>
      </c>
      <c r="F207" s="428"/>
      <c r="G207" s="428"/>
      <c r="H207" s="428"/>
      <c r="I207" s="428"/>
      <c r="J207" s="428"/>
      <c r="K207" s="428"/>
      <c r="L207" s="428"/>
      <c r="M207" s="428"/>
      <c r="N207" s="429"/>
      <c r="R207" s="117" t="s">
        <v>429</v>
      </c>
    </row>
    <row r="208" spans="3:18" ht="19.5" thickTop="1" thickBot="1">
      <c r="C208" s="466"/>
      <c r="D208" s="108" t="s">
        <v>148</v>
      </c>
      <c r="E208" s="414">
        <f>'[39]NPV-IRR-PI-DPP (2)'!M20</f>
        <v>13160447.434307046</v>
      </c>
      <c r="F208" s="414"/>
      <c r="G208" s="414"/>
      <c r="H208" s="414"/>
      <c r="I208" s="414"/>
      <c r="J208" s="414"/>
      <c r="K208" s="414"/>
      <c r="L208" s="414"/>
      <c r="M208" s="414"/>
      <c r="N208" s="415"/>
    </row>
    <row r="209" spans="3:18" ht="19.5" thickTop="1" thickBot="1">
      <c r="C209" s="466"/>
      <c r="D209" s="108" t="s">
        <v>150</v>
      </c>
      <c r="E209" s="430">
        <f>'[39]NPV-IRR-PI-DPP (2)'!O20</f>
        <v>2.7483505164567648</v>
      </c>
      <c r="F209" s="430"/>
      <c r="G209" s="431"/>
      <c r="H209" s="431"/>
      <c r="I209" s="431"/>
      <c r="J209" s="431"/>
      <c r="K209" s="431"/>
      <c r="L209" s="431"/>
      <c r="M209" s="431"/>
      <c r="N209" s="432"/>
    </row>
    <row r="210" spans="3:18" ht="18.75" customHeight="1" thickTop="1" thickBot="1">
      <c r="C210" s="466"/>
      <c r="D210" s="108" t="s">
        <v>430</v>
      </c>
      <c r="E210" s="426">
        <f>'[39]NPV-IRR-PI-DPP (2)'!D96+'[39]NPV-IRR-PI-DPP (2)'!D106</f>
        <v>231</v>
      </c>
      <c r="F210" s="426"/>
      <c r="G210" s="431"/>
      <c r="H210" s="431"/>
      <c r="I210" s="431"/>
      <c r="J210" s="431"/>
      <c r="K210" s="431"/>
      <c r="L210" s="431"/>
      <c r="M210" s="431"/>
      <c r="N210" s="432"/>
    </row>
    <row r="211" spans="3:18" ht="18" customHeight="1" thickTop="1" thickBot="1">
      <c r="C211" s="466"/>
      <c r="D211" s="108" t="s">
        <v>431</v>
      </c>
      <c r="E211" s="414">
        <f>E210/(E166/1000000)</f>
        <v>31.363187820662525</v>
      </c>
      <c r="F211" s="414"/>
      <c r="G211" s="414"/>
      <c r="H211" s="414"/>
      <c r="I211" s="414"/>
      <c r="J211" s="414"/>
      <c r="K211" s="414"/>
      <c r="L211" s="414"/>
      <c r="M211" s="414"/>
      <c r="N211" s="415"/>
      <c r="R211" s="117" t="s">
        <v>432</v>
      </c>
    </row>
    <row r="212" spans="3:18" ht="45" customHeight="1" thickTop="1" thickBot="1">
      <c r="C212" s="466"/>
      <c r="D212" s="118" t="s">
        <v>433</v>
      </c>
      <c r="E212" s="416" t="str">
        <f>E58</f>
        <v>В целях консервативного подхода в расчетах учтены все налоги</v>
      </c>
      <c r="F212" s="416"/>
      <c r="G212" s="416"/>
      <c r="H212" s="416"/>
      <c r="I212" s="416"/>
      <c r="J212" s="416"/>
      <c r="K212" s="416"/>
      <c r="L212" s="416"/>
      <c r="M212" s="416"/>
      <c r="N212" s="417"/>
    </row>
    <row r="213" spans="3:18" s="107" customFormat="1" ht="35.25" customHeight="1" collapsed="1" thickTop="1">
      <c r="C213" s="418">
        <v>8</v>
      </c>
      <c r="D213" s="421" t="s">
        <v>434</v>
      </c>
      <c r="E213" s="422"/>
      <c r="F213" s="422"/>
      <c r="G213" s="422"/>
      <c r="H213" s="422"/>
      <c r="I213" s="422"/>
      <c r="J213" s="422"/>
      <c r="K213" s="422"/>
      <c r="L213" s="422"/>
      <c r="M213" s="422"/>
      <c r="N213" s="423"/>
    </row>
    <row r="214" spans="3:18" s="107" customFormat="1" ht="78.75" customHeight="1">
      <c r="C214" s="419"/>
      <c r="D214" s="119" t="s">
        <v>435</v>
      </c>
      <c r="E214" s="405" t="s">
        <v>436</v>
      </c>
      <c r="F214" s="405"/>
      <c r="G214" s="405"/>
      <c r="H214" s="405"/>
      <c r="I214" s="405"/>
      <c r="J214" s="405"/>
      <c r="K214" s="405"/>
      <c r="L214" s="405"/>
      <c r="M214" s="405"/>
      <c r="N214" s="406"/>
    </row>
    <row r="215" spans="3:18" s="107" customFormat="1" ht="40.5" customHeight="1">
      <c r="C215" s="419"/>
      <c r="D215" s="119" t="s">
        <v>437</v>
      </c>
      <c r="E215" s="405" t="s">
        <v>438</v>
      </c>
      <c r="F215" s="405"/>
      <c r="G215" s="405"/>
      <c r="H215" s="405"/>
      <c r="I215" s="405"/>
      <c r="J215" s="405"/>
      <c r="K215" s="405"/>
      <c r="L215" s="405"/>
      <c r="M215" s="405"/>
      <c r="N215" s="406"/>
    </row>
    <row r="216" spans="3:18" s="107" customFormat="1" ht="69" customHeight="1">
      <c r="C216" s="419"/>
      <c r="D216" s="119" t="s">
        <v>138</v>
      </c>
      <c r="E216" s="405" t="s">
        <v>439</v>
      </c>
      <c r="F216" s="405"/>
      <c r="G216" s="405"/>
      <c r="H216" s="405"/>
      <c r="I216" s="405"/>
      <c r="J216" s="405"/>
      <c r="K216" s="405"/>
      <c r="L216" s="405"/>
      <c r="M216" s="405"/>
      <c r="N216" s="406"/>
    </row>
    <row r="217" spans="3:18" s="107" customFormat="1" ht="47.25" customHeight="1">
      <c r="C217" s="419"/>
      <c r="D217" s="119" t="s">
        <v>440</v>
      </c>
      <c r="E217" s="405" t="s">
        <v>441</v>
      </c>
      <c r="F217" s="405"/>
      <c r="G217" s="405"/>
      <c r="H217" s="405"/>
      <c r="I217" s="405"/>
      <c r="J217" s="405"/>
      <c r="K217" s="405"/>
      <c r="L217" s="405"/>
      <c r="M217" s="405"/>
      <c r="N217" s="406"/>
    </row>
    <row r="218" spans="3:18" s="107" customFormat="1" ht="48.75" customHeight="1">
      <c r="C218" s="419"/>
      <c r="D218" s="119" t="s">
        <v>442</v>
      </c>
      <c r="E218" s="405" t="s">
        <v>443</v>
      </c>
      <c r="F218" s="405"/>
      <c r="G218" s="405"/>
      <c r="H218" s="405"/>
      <c r="I218" s="405"/>
      <c r="J218" s="405"/>
      <c r="K218" s="405"/>
      <c r="L218" s="405"/>
      <c r="M218" s="405"/>
      <c r="N218" s="406"/>
    </row>
    <row r="219" spans="3:18" s="107" customFormat="1" ht="39.75" customHeight="1">
      <c r="C219" s="419"/>
      <c r="D219" s="119"/>
      <c r="E219" s="405" t="s">
        <v>444</v>
      </c>
      <c r="F219" s="405"/>
      <c r="G219" s="405"/>
      <c r="H219" s="405"/>
      <c r="I219" s="405"/>
      <c r="J219" s="405"/>
      <c r="K219" s="405"/>
      <c r="L219" s="405"/>
      <c r="M219" s="405"/>
      <c r="N219" s="406"/>
    </row>
    <row r="220" spans="3:18" s="107" customFormat="1" ht="69.75" customHeight="1">
      <c r="C220" s="419"/>
      <c r="D220" s="119"/>
      <c r="E220" s="405" t="s">
        <v>445</v>
      </c>
      <c r="F220" s="405"/>
      <c r="G220" s="405"/>
      <c r="H220" s="405"/>
      <c r="I220" s="405"/>
      <c r="J220" s="405"/>
      <c r="K220" s="405"/>
      <c r="L220" s="405"/>
      <c r="M220" s="405"/>
      <c r="N220" s="406"/>
    </row>
    <row r="221" spans="3:18" ht="43.5" customHeight="1">
      <c r="C221" s="419"/>
      <c r="D221" s="120"/>
      <c r="E221" s="405" t="s">
        <v>446</v>
      </c>
      <c r="F221" s="405"/>
      <c r="G221" s="405"/>
      <c r="H221" s="405"/>
      <c r="I221" s="405"/>
      <c r="J221" s="405"/>
      <c r="K221" s="405"/>
      <c r="L221" s="405"/>
      <c r="M221" s="405"/>
      <c r="N221" s="406"/>
    </row>
    <row r="222" spans="3:18" ht="14.25" customHeight="1">
      <c r="C222" s="419"/>
      <c r="D222" s="407"/>
      <c r="E222" s="408"/>
      <c r="F222" s="408"/>
      <c r="G222" s="408"/>
      <c r="H222" s="408"/>
      <c r="I222" s="408"/>
      <c r="J222" s="408"/>
      <c r="K222" s="408"/>
      <c r="L222" s="408"/>
      <c r="M222" s="408"/>
      <c r="N222" s="409"/>
    </row>
    <row r="223" spans="3:18" ht="15.75" hidden="1" customHeight="1" outlineLevel="1">
      <c r="C223" s="419"/>
      <c r="D223" s="407"/>
      <c r="E223" s="408"/>
      <c r="F223" s="408"/>
      <c r="G223" s="408"/>
      <c r="H223" s="408"/>
      <c r="I223" s="408"/>
      <c r="J223" s="408"/>
      <c r="K223" s="408"/>
      <c r="L223" s="408"/>
      <c r="M223" s="408"/>
      <c r="N223" s="409"/>
    </row>
    <row r="224" spans="3:18" ht="15" hidden="1" outlineLevel="1" thickBot="1">
      <c r="C224" s="420"/>
      <c r="D224" s="410"/>
      <c r="E224" s="411"/>
      <c r="F224" s="411"/>
      <c r="G224" s="411"/>
      <c r="H224" s="411"/>
      <c r="I224" s="411"/>
      <c r="J224" s="411"/>
      <c r="K224" s="411"/>
      <c r="L224" s="411"/>
      <c r="M224" s="411"/>
      <c r="N224" s="412"/>
    </row>
    <row r="225" spans="3:14" ht="14.25" collapsed="1">
      <c r="C225" s="121"/>
      <c r="D225" s="413"/>
      <c r="E225" s="413"/>
      <c r="F225" s="413"/>
      <c r="G225" s="413"/>
      <c r="H225" s="413"/>
      <c r="I225" s="413"/>
      <c r="J225" s="413"/>
      <c r="K225" s="413"/>
      <c r="L225" s="413"/>
      <c r="M225" s="413"/>
      <c r="N225" s="413"/>
    </row>
    <row r="237" spans="3:14" customFormat="1">
      <c r="C237" s="122"/>
    </row>
    <row r="238" spans="3:14" customFormat="1">
      <c r="C238" s="123"/>
      <c r="J238" s="124"/>
    </row>
  </sheetData>
  <dataConsolidate link="1"/>
  <mergeCells count="289">
    <mergeCell ref="D2:N2"/>
    <mergeCell ref="D3:N3"/>
    <mergeCell ref="C4:C23"/>
    <mergeCell ref="D4:N4"/>
    <mergeCell ref="E5:N5"/>
    <mergeCell ref="E6:N6"/>
    <mergeCell ref="E7:N7"/>
    <mergeCell ref="E8:N8"/>
    <mergeCell ref="E9:N9"/>
    <mergeCell ref="E10:N10"/>
    <mergeCell ref="E17:N17"/>
    <mergeCell ref="E18:N18"/>
    <mergeCell ref="E19:N19"/>
    <mergeCell ref="E20:N20"/>
    <mergeCell ref="E21:N21"/>
    <mergeCell ref="E22:N22"/>
    <mergeCell ref="E11:N11"/>
    <mergeCell ref="E12:N12"/>
    <mergeCell ref="E13:N13"/>
    <mergeCell ref="E14:N14"/>
    <mergeCell ref="E15:N15"/>
    <mergeCell ref="E16:N16"/>
    <mergeCell ref="E23:N23"/>
    <mergeCell ref="C24:C41"/>
    <mergeCell ref="D24:N24"/>
    <mergeCell ref="D25:N25"/>
    <mergeCell ref="E26:G26"/>
    <mergeCell ref="H26:J26"/>
    <mergeCell ref="K26:N26"/>
    <mergeCell ref="E27:G27"/>
    <mergeCell ref="H27:J27"/>
    <mergeCell ref="K27:N27"/>
    <mergeCell ref="E33:N33"/>
    <mergeCell ref="E34:N34"/>
    <mergeCell ref="E35:N35"/>
    <mergeCell ref="E36:N36"/>
    <mergeCell ref="E37:H37"/>
    <mergeCell ref="I37:L37"/>
    <mergeCell ref="M37:N37"/>
    <mergeCell ref="D28:D31"/>
    <mergeCell ref="E28:N28"/>
    <mergeCell ref="E29:N29"/>
    <mergeCell ref="E30:N30"/>
    <mergeCell ref="E31:N31"/>
    <mergeCell ref="E32:N32"/>
    <mergeCell ref="E38:N38"/>
    <mergeCell ref="E39:H39"/>
    <mergeCell ref="I39:L39"/>
    <mergeCell ref="M39:N39"/>
    <mergeCell ref="D40:D41"/>
    <mergeCell ref="E40:H40"/>
    <mergeCell ref="I40:L40"/>
    <mergeCell ref="M40:N40"/>
    <mergeCell ref="E41:N41"/>
    <mergeCell ref="E51:N51"/>
    <mergeCell ref="E52:N52"/>
    <mergeCell ref="E53:N53"/>
    <mergeCell ref="D54:N54"/>
    <mergeCell ref="E58:N58"/>
    <mergeCell ref="E59:N59"/>
    <mergeCell ref="C42:C83"/>
    <mergeCell ref="D42:N42"/>
    <mergeCell ref="D43:N43"/>
    <mergeCell ref="D44:N44"/>
    <mergeCell ref="E45:N45"/>
    <mergeCell ref="E46:N46"/>
    <mergeCell ref="E47:N47"/>
    <mergeCell ref="E48:N48"/>
    <mergeCell ref="E49:N49"/>
    <mergeCell ref="E50:N50"/>
    <mergeCell ref="E64:F64"/>
    <mergeCell ref="G64:H64"/>
    <mergeCell ref="I64:J64"/>
    <mergeCell ref="K64:L64"/>
    <mergeCell ref="E65:F65"/>
    <mergeCell ref="G65:H65"/>
    <mergeCell ref="I65:J65"/>
    <mergeCell ref="K65:L65"/>
    <mergeCell ref="D60:N60"/>
    <mergeCell ref="D61:N61"/>
    <mergeCell ref="E62:N62"/>
    <mergeCell ref="E63:F63"/>
    <mergeCell ref="G63:H63"/>
    <mergeCell ref="I63:J63"/>
    <mergeCell ref="K63:L63"/>
    <mergeCell ref="E68:F68"/>
    <mergeCell ref="G68:H68"/>
    <mergeCell ref="I68:J68"/>
    <mergeCell ref="K68:L68"/>
    <mergeCell ref="E69:F69"/>
    <mergeCell ref="G69:H69"/>
    <mergeCell ref="I69:J69"/>
    <mergeCell ref="K69:L69"/>
    <mergeCell ref="E66:F66"/>
    <mergeCell ref="G66:H66"/>
    <mergeCell ref="I66:J66"/>
    <mergeCell ref="K66:L66"/>
    <mergeCell ref="E67:F67"/>
    <mergeCell ref="G67:H67"/>
    <mergeCell ref="I67:J67"/>
    <mergeCell ref="K67:L67"/>
    <mergeCell ref="E81:I81"/>
    <mergeCell ref="J81:N81"/>
    <mergeCell ref="E82:I82"/>
    <mergeCell ref="J82:N82"/>
    <mergeCell ref="E83:I83"/>
    <mergeCell ref="J83:N83"/>
    <mergeCell ref="E70:N70"/>
    <mergeCell ref="D71:N71"/>
    <mergeCell ref="E77:N77"/>
    <mergeCell ref="E78:N78"/>
    <mergeCell ref="D79:N79"/>
    <mergeCell ref="E80:N80"/>
    <mergeCell ref="I88:J88"/>
    <mergeCell ref="K88:N88"/>
    <mergeCell ref="E89:F89"/>
    <mergeCell ref="G89:H89"/>
    <mergeCell ref="I89:J89"/>
    <mergeCell ref="K89:N89"/>
    <mergeCell ref="C84:C108"/>
    <mergeCell ref="D84:N84"/>
    <mergeCell ref="E85:N85"/>
    <mergeCell ref="D86:D87"/>
    <mergeCell ref="E87:F87"/>
    <mergeCell ref="G87:H87"/>
    <mergeCell ref="I87:J87"/>
    <mergeCell ref="K87:N87"/>
    <mergeCell ref="E88:F88"/>
    <mergeCell ref="G88:H88"/>
    <mergeCell ref="E92:N92"/>
    <mergeCell ref="E93:N93"/>
    <mergeCell ref="D94:D96"/>
    <mergeCell ref="E94:N94"/>
    <mergeCell ref="E95:I95"/>
    <mergeCell ref="J95:N95"/>
    <mergeCell ref="E96:H96"/>
    <mergeCell ref="J96:N96"/>
    <mergeCell ref="E90:F90"/>
    <mergeCell ref="G90:H90"/>
    <mergeCell ref="I90:J90"/>
    <mergeCell ref="K90:N90"/>
    <mergeCell ref="E91:F91"/>
    <mergeCell ref="G91:H91"/>
    <mergeCell ref="I91:J91"/>
    <mergeCell ref="K91:N91"/>
    <mergeCell ref="E101:N101"/>
    <mergeCell ref="E102:N102"/>
    <mergeCell ref="E103:N103"/>
    <mergeCell ref="E104:N104"/>
    <mergeCell ref="E105:N105"/>
    <mergeCell ref="E106:N106"/>
    <mergeCell ref="E97:I97"/>
    <mergeCell ref="J97:N97"/>
    <mergeCell ref="E98:I98"/>
    <mergeCell ref="J98:N98"/>
    <mergeCell ref="D99:N99"/>
    <mergeCell ref="E100:N100"/>
    <mergeCell ref="E107:N107"/>
    <mergeCell ref="E108:N108"/>
    <mergeCell ref="C109:C120"/>
    <mergeCell ref="D109:N109"/>
    <mergeCell ref="E110:N110"/>
    <mergeCell ref="E111:N111"/>
    <mergeCell ref="E112:N112"/>
    <mergeCell ref="E115:F115"/>
    <mergeCell ref="E116:F116"/>
    <mergeCell ref="E118:N118"/>
    <mergeCell ref="E119:N119"/>
    <mergeCell ref="E120:N120"/>
    <mergeCell ref="C121:C164"/>
    <mergeCell ref="D121:N121"/>
    <mergeCell ref="G122:I122"/>
    <mergeCell ref="J122:L122"/>
    <mergeCell ref="M122:N122"/>
    <mergeCell ref="E123:N123"/>
    <mergeCell ref="D124:N124"/>
    <mergeCell ref="E125:N125"/>
    <mergeCell ref="E132:N132"/>
    <mergeCell ref="E133:N133"/>
    <mergeCell ref="E134:N134"/>
    <mergeCell ref="E135:N135"/>
    <mergeCell ref="E136:N136"/>
    <mergeCell ref="E137:N137"/>
    <mergeCell ref="E126:N126"/>
    <mergeCell ref="E127:N127"/>
    <mergeCell ref="E128:N128"/>
    <mergeCell ref="E129:N129"/>
    <mergeCell ref="E130:N130"/>
    <mergeCell ref="E131:N131"/>
    <mergeCell ref="E144:N144"/>
    <mergeCell ref="E145:N145"/>
    <mergeCell ref="E146:N146"/>
    <mergeCell ref="E147:N147"/>
    <mergeCell ref="E148:N148"/>
    <mergeCell ref="E149:N149"/>
    <mergeCell ref="E138:N138"/>
    <mergeCell ref="E139:N139"/>
    <mergeCell ref="E140:N140"/>
    <mergeCell ref="E141:N141"/>
    <mergeCell ref="E142:N142"/>
    <mergeCell ref="E143:N143"/>
    <mergeCell ref="E156:N156"/>
    <mergeCell ref="E157:N157"/>
    <mergeCell ref="E158:N158"/>
    <mergeCell ref="E159:N159"/>
    <mergeCell ref="E160:N160"/>
    <mergeCell ref="E161:N161"/>
    <mergeCell ref="E150:N150"/>
    <mergeCell ref="E151:N151"/>
    <mergeCell ref="E152:N152"/>
    <mergeCell ref="E153:N153"/>
    <mergeCell ref="E154:N154"/>
    <mergeCell ref="E155:N155"/>
    <mergeCell ref="E162:N162"/>
    <mergeCell ref="E163:N163"/>
    <mergeCell ref="E164:N164"/>
    <mergeCell ref="C165:C212"/>
    <mergeCell ref="D165:N165"/>
    <mergeCell ref="E166:N166"/>
    <mergeCell ref="I167:J179"/>
    <mergeCell ref="N167:N179"/>
    <mergeCell ref="E180:N180"/>
    <mergeCell ref="E181:N181"/>
    <mergeCell ref="E186:I186"/>
    <mergeCell ref="J186:N186"/>
    <mergeCell ref="E187:I187"/>
    <mergeCell ref="J187:N187"/>
    <mergeCell ref="E188:I188"/>
    <mergeCell ref="J188:N188"/>
    <mergeCell ref="E182:N182"/>
    <mergeCell ref="E183:N183"/>
    <mergeCell ref="E184:I184"/>
    <mergeCell ref="J184:N184"/>
    <mergeCell ref="E185:I185"/>
    <mergeCell ref="J185:N185"/>
    <mergeCell ref="E193:F193"/>
    <mergeCell ref="G193:H193"/>
    <mergeCell ref="I193:N193"/>
    <mergeCell ref="E194:F194"/>
    <mergeCell ref="G194:H194"/>
    <mergeCell ref="I194:N194"/>
    <mergeCell ref="E189:N189"/>
    <mergeCell ref="E190:N190"/>
    <mergeCell ref="E191:F191"/>
    <mergeCell ref="G191:H191"/>
    <mergeCell ref="I191:N191"/>
    <mergeCell ref="E192:F192"/>
    <mergeCell ref="G192:H192"/>
    <mergeCell ref="I192:N192"/>
    <mergeCell ref="E197:F197"/>
    <mergeCell ref="G197:H197"/>
    <mergeCell ref="I197:N197"/>
    <mergeCell ref="E198:F198"/>
    <mergeCell ref="G198:H198"/>
    <mergeCell ref="I198:N198"/>
    <mergeCell ref="E195:F195"/>
    <mergeCell ref="G195:H195"/>
    <mergeCell ref="I195:N195"/>
    <mergeCell ref="E196:F196"/>
    <mergeCell ref="G196:H196"/>
    <mergeCell ref="I196:N196"/>
    <mergeCell ref="E201:N201"/>
    <mergeCell ref="E206:N206"/>
    <mergeCell ref="E207:N207"/>
    <mergeCell ref="E208:N208"/>
    <mergeCell ref="E209:N209"/>
    <mergeCell ref="E210:N210"/>
    <mergeCell ref="E199:F199"/>
    <mergeCell ref="G199:H199"/>
    <mergeCell ref="I199:N199"/>
    <mergeCell ref="E200:F200"/>
    <mergeCell ref="G200:H200"/>
    <mergeCell ref="I200:N200"/>
    <mergeCell ref="E220:N220"/>
    <mergeCell ref="E221:N221"/>
    <mergeCell ref="D222:N222"/>
    <mergeCell ref="D223:N223"/>
    <mergeCell ref="D224:N224"/>
    <mergeCell ref="D225:N225"/>
    <mergeCell ref="E211:N211"/>
    <mergeCell ref="E212:N212"/>
    <mergeCell ref="C213:C224"/>
    <mergeCell ref="D213:N213"/>
    <mergeCell ref="E214:N214"/>
    <mergeCell ref="E215:N215"/>
    <mergeCell ref="E216:N216"/>
    <mergeCell ref="E217:N217"/>
    <mergeCell ref="E218:N218"/>
    <mergeCell ref="E219:N219"/>
  </mergeCells>
  <hyperlinks>
    <hyperlink ref="R207" r:id="rId1" xr:uid="{D4C22BE7-4751-4953-97C0-5411E71C0C37}"/>
    <hyperlink ref="R211" r:id="rId2" xr:uid="{F3B2A845-6971-4712-BB9C-4F077DD3B126}"/>
    <hyperlink ref="E91" r:id="rId3" xr:uid="{12EDCBBA-6DAC-43AB-960A-496726546961}"/>
    <hyperlink ref="K91" r:id="rId4" xr:uid="{8278E950-180C-46E9-BA63-BD8DBC1F61AD}"/>
    <hyperlink ref="G91" r:id="rId5" xr:uid="{75CB2F43-0F5B-465B-8BBF-BB708A753062}"/>
    <hyperlink ref="I91" r:id="rId6" xr:uid="{4FF4D1E4-6D43-4E54-BA53-3E861DC4524E}"/>
  </hyperlinks>
  <printOptions horizontalCentered="1"/>
  <pageMargins left="0.15748031496062992" right="0" top="0.19685039370078741" bottom="0" header="0" footer="3.937007874015748E-2"/>
  <pageSetup paperSize="9" scale="38" fitToHeight="3" orientation="portrait" r:id="rId7"/>
  <headerFooter alignWithMargins="0"/>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FD9D0-2D0C-4B22-9580-3EAB1628B93F}">
  <sheetPr>
    <pageSetUpPr fitToPage="1"/>
  </sheetPr>
  <dimension ref="C1:V238"/>
  <sheetViews>
    <sheetView showGridLines="0" tabSelected="1" zoomScale="68" zoomScaleNormal="68" workbookViewId="0">
      <selection activeCell="AB40" sqref="AB40:AD40"/>
    </sheetView>
  </sheetViews>
  <sheetFormatPr defaultRowHeight="12.75" outlineLevelRow="1"/>
  <cols>
    <col min="1" max="2" width="9.140625" style="40"/>
    <col min="3" max="3" width="9.42578125" style="38" customWidth="1"/>
    <col min="4" max="4" width="76.140625" style="40" customWidth="1"/>
    <col min="5" max="5" width="18.140625" style="40" customWidth="1"/>
    <col min="6" max="6" width="16.42578125" style="40" customWidth="1"/>
    <col min="7" max="7" width="21.42578125" style="40" customWidth="1"/>
    <col min="8" max="8" width="16.140625" style="40" customWidth="1"/>
    <col min="9" max="9" width="17.85546875" style="40" customWidth="1"/>
    <col min="10" max="10" width="18.140625" style="40" customWidth="1"/>
    <col min="11" max="11" width="13.42578125" style="40" customWidth="1"/>
    <col min="12" max="12" width="14.42578125" style="40" customWidth="1"/>
    <col min="13" max="13" width="23.140625" style="40" customWidth="1"/>
    <col min="14" max="14" width="23.42578125" style="40" customWidth="1"/>
    <col min="15" max="15" width="9.140625" style="40"/>
    <col min="16" max="16" width="10.42578125" style="40" bestFit="1" customWidth="1"/>
    <col min="17" max="17" width="9.140625" style="40"/>
    <col min="18" max="18" width="46.28515625" style="40"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185</v>
      </c>
      <c r="Q1" s="41">
        <f>[39]Input1!I2</f>
        <v>10000</v>
      </c>
    </row>
    <row r="2" spans="3:17" ht="30.75">
      <c r="D2" s="637" t="s">
        <v>447</v>
      </c>
      <c r="E2" s="637"/>
      <c r="F2" s="637"/>
      <c r="G2" s="637"/>
      <c r="H2" s="637"/>
      <c r="I2" s="637"/>
      <c r="J2" s="637"/>
      <c r="K2" s="637"/>
      <c r="L2" s="637"/>
      <c r="M2" s="637"/>
      <c r="N2" s="637"/>
    </row>
    <row r="3" spans="3:17" ht="33" customHeight="1" thickBot="1">
      <c r="D3" s="638" t="s">
        <v>448</v>
      </c>
      <c r="E3" s="638"/>
      <c r="F3" s="638"/>
      <c r="G3" s="638"/>
      <c r="H3" s="638"/>
      <c r="I3" s="638"/>
      <c r="J3" s="638"/>
      <c r="K3" s="638"/>
      <c r="L3" s="638"/>
      <c r="M3" s="638"/>
      <c r="N3" s="638"/>
    </row>
    <row r="4" spans="3:17" ht="34.5" customHeight="1" thickTop="1" thickBot="1">
      <c r="C4" s="466">
        <v>1</v>
      </c>
      <c r="D4" s="467" t="s">
        <v>449</v>
      </c>
      <c r="E4" s="468"/>
      <c r="F4" s="468"/>
      <c r="G4" s="468"/>
      <c r="H4" s="468"/>
      <c r="I4" s="468"/>
      <c r="J4" s="468"/>
      <c r="K4" s="468"/>
      <c r="L4" s="468"/>
      <c r="M4" s="468"/>
      <c r="N4" s="469"/>
    </row>
    <row r="5" spans="3:17" ht="57.75" customHeight="1" thickTop="1" thickBot="1">
      <c r="C5" s="466"/>
      <c r="D5" s="42" t="s">
        <v>640</v>
      </c>
      <c r="E5" s="639" t="s">
        <v>448</v>
      </c>
      <c r="F5" s="639"/>
      <c r="G5" s="639"/>
      <c r="H5" s="639"/>
      <c r="I5" s="639"/>
      <c r="J5" s="639"/>
      <c r="K5" s="639"/>
      <c r="L5" s="639"/>
      <c r="M5" s="639"/>
      <c r="N5" s="640"/>
    </row>
    <row r="6" spans="3:17" ht="21.75" customHeight="1" thickTop="1" thickBot="1">
      <c r="C6" s="466"/>
      <c r="D6" s="43" t="s">
        <v>450</v>
      </c>
      <c r="E6" s="641">
        <f>E166</f>
        <v>7365322.7255111439</v>
      </c>
      <c r="F6" s="641"/>
      <c r="G6" s="641"/>
      <c r="H6" s="641"/>
      <c r="I6" s="641"/>
      <c r="J6" s="641"/>
      <c r="K6" s="641"/>
      <c r="L6" s="641"/>
      <c r="M6" s="641"/>
      <c r="N6" s="642"/>
    </row>
    <row r="7" spans="3:17" ht="21.75" customHeight="1" thickTop="1" thickBot="1">
      <c r="C7" s="466"/>
      <c r="D7" s="43" t="s">
        <v>451</v>
      </c>
      <c r="E7" s="641">
        <f>E41</f>
        <v>21135905.459573649</v>
      </c>
      <c r="F7" s="641"/>
      <c r="G7" s="641"/>
      <c r="H7" s="641"/>
      <c r="I7" s="641"/>
      <c r="J7" s="641"/>
      <c r="K7" s="641"/>
      <c r="L7" s="641"/>
      <c r="M7" s="641"/>
      <c r="N7" s="642"/>
    </row>
    <row r="8" spans="3:17" ht="16.5" customHeight="1" thickTop="1" thickBot="1">
      <c r="C8" s="466"/>
      <c r="D8" s="43" t="s">
        <v>452</v>
      </c>
      <c r="E8" s="641">
        <f>E59</f>
        <v>32722333.499999996</v>
      </c>
      <c r="F8" s="641"/>
      <c r="G8" s="641"/>
      <c r="H8" s="641"/>
      <c r="I8" s="641"/>
      <c r="J8" s="641"/>
      <c r="K8" s="641"/>
      <c r="L8" s="641"/>
      <c r="M8" s="641"/>
      <c r="N8" s="642"/>
    </row>
    <row r="9" spans="3:17" ht="16.5" customHeight="1" thickTop="1" thickBot="1">
      <c r="C9" s="466"/>
      <c r="D9" s="43" t="s">
        <v>453</v>
      </c>
      <c r="E9" s="414">
        <f>E206</f>
        <v>46.719602563436339</v>
      </c>
      <c r="F9" s="414"/>
      <c r="G9" s="414"/>
      <c r="H9" s="414"/>
      <c r="I9" s="414"/>
      <c r="J9" s="414"/>
      <c r="K9" s="414"/>
      <c r="L9" s="414"/>
      <c r="M9" s="414"/>
      <c r="N9" s="415"/>
    </row>
    <row r="10" spans="3:17" ht="29.25" customHeight="1" thickTop="1" thickBot="1">
      <c r="C10" s="466"/>
      <c r="D10" s="44" t="s">
        <v>454</v>
      </c>
      <c r="E10" s="619" t="s">
        <v>175</v>
      </c>
      <c r="F10" s="619"/>
      <c r="G10" s="619"/>
      <c r="H10" s="619"/>
      <c r="I10" s="619"/>
      <c r="J10" s="619"/>
      <c r="K10" s="619"/>
      <c r="L10" s="619"/>
      <c r="M10" s="619"/>
      <c r="N10" s="620"/>
    </row>
    <row r="11" spans="3:17" ht="29.25" hidden="1" customHeight="1" outlineLevel="1" thickTop="1" thickBot="1">
      <c r="C11" s="466"/>
      <c r="D11" s="45" t="s">
        <v>195</v>
      </c>
      <c r="E11" s="633" t="s">
        <v>196</v>
      </c>
      <c r="F11" s="633"/>
      <c r="G11" s="633"/>
      <c r="H11" s="633"/>
      <c r="I11" s="633"/>
      <c r="J11" s="633"/>
      <c r="K11" s="633"/>
      <c r="L11" s="633"/>
      <c r="M11" s="633"/>
      <c r="N11" s="634"/>
    </row>
    <row r="12" spans="3:17" ht="48.75" hidden="1" customHeight="1" outlineLevel="1" thickTop="1" thickBot="1">
      <c r="C12" s="466"/>
      <c r="D12" s="43" t="s">
        <v>197</v>
      </c>
      <c r="E12" s="431" t="s">
        <v>194</v>
      </c>
      <c r="F12" s="431"/>
      <c r="G12" s="431"/>
      <c r="H12" s="431"/>
      <c r="I12" s="431"/>
      <c r="J12" s="431"/>
      <c r="K12" s="431"/>
      <c r="L12" s="431"/>
      <c r="M12" s="431"/>
      <c r="N12" s="432"/>
    </row>
    <row r="13" spans="3:17" ht="54.75" hidden="1" customHeight="1" outlineLevel="1" thickTop="1" thickBot="1">
      <c r="C13" s="466"/>
      <c r="D13" s="43" t="s">
        <v>198</v>
      </c>
      <c r="E13" s="431" t="s">
        <v>194</v>
      </c>
      <c r="F13" s="431"/>
      <c r="G13" s="431"/>
      <c r="H13" s="431"/>
      <c r="I13" s="431"/>
      <c r="J13" s="431"/>
      <c r="K13" s="431"/>
      <c r="L13" s="431"/>
      <c r="M13" s="431"/>
      <c r="N13" s="432"/>
    </row>
    <row r="14" spans="3:17" ht="54.75" hidden="1" customHeight="1" outlineLevel="1" thickTop="1" thickBot="1">
      <c r="C14" s="466"/>
      <c r="D14" s="43" t="s">
        <v>199</v>
      </c>
      <c r="E14" s="431" t="s">
        <v>194</v>
      </c>
      <c r="F14" s="431"/>
      <c r="G14" s="431"/>
      <c r="H14" s="431"/>
      <c r="I14" s="431"/>
      <c r="J14" s="431"/>
      <c r="K14" s="431"/>
      <c r="L14" s="431"/>
      <c r="M14" s="431"/>
      <c r="N14" s="432"/>
    </row>
    <row r="15" spans="3:17" ht="42" hidden="1" customHeight="1" outlineLevel="1" thickTop="1" thickBot="1">
      <c r="C15" s="466"/>
      <c r="D15" s="46" t="s">
        <v>200</v>
      </c>
      <c r="E15" s="431" t="s">
        <v>194</v>
      </c>
      <c r="F15" s="431"/>
      <c r="G15" s="431"/>
      <c r="H15" s="431"/>
      <c r="I15" s="431"/>
      <c r="J15" s="431"/>
      <c r="K15" s="431"/>
      <c r="L15" s="431"/>
      <c r="M15" s="431"/>
      <c r="N15" s="432"/>
    </row>
    <row r="16" spans="3:17" ht="30" hidden="1" customHeight="1" outlineLevel="1" thickTop="1" thickBot="1">
      <c r="C16" s="466"/>
      <c r="D16" s="47" t="s">
        <v>201</v>
      </c>
      <c r="E16" s="635" t="s">
        <v>194</v>
      </c>
      <c r="F16" s="635"/>
      <c r="G16" s="635"/>
      <c r="H16" s="635"/>
      <c r="I16" s="635"/>
      <c r="J16" s="635"/>
      <c r="K16" s="635"/>
      <c r="L16" s="635"/>
      <c r="M16" s="635"/>
      <c r="N16" s="636"/>
    </row>
    <row r="17" spans="3:22" ht="24.75" hidden="1" customHeight="1" outlineLevel="1" thickTop="1" thickBot="1">
      <c r="C17" s="466"/>
      <c r="D17" s="48" t="s">
        <v>202</v>
      </c>
      <c r="E17" s="631" t="s">
        <v>203</v>
      </c>
      <c r="F17" s="631"/>
      <c r="G17" s="631"/>
      <c r="H17" s="631"/>
      <c r="I17" s="631"/>
      <c r="J17" s="631"/>
      <c r="K17" s="631"/>
      <c r="L17" s="631"/>
      <c r="M17" s="631"/>
      <c r="N17" s="632"/>
    </row>
    <row r="18" spans="3:22" ht="42" hidden="1" customHeight="1" outlineLevel="1" thickTop="1" thickBot="1">
      <c r="C18" s="466"/>
      <c r="D18" s="43" t="s">
        <v>197</v>
      </c>
      <c r="E18" s="431" t="s">
        <v>194</v>
      </c>
      <c r="F18" s="431"/>
      <c r="G18" s="431"/>
      <c r="H18" s="431"/>
      <c r="I18" s="431"/>
      <c r="J18" s="431"/>
      <c r="K18" s="431"/>
      <c r="L18" s="431"/>
      <c r="M18" s="431"/>
      <c r="N18" s="432"/>
    </row>
    <row r="19" spans="3:22" ht="49.5" hidden="1" customHeight="1" outlineLevel="1" thickTop="1" thickBot="1">
      <c r="C19" s="466"/>
      <c r="D19" s="43" t="s">
        <v>198</v>
      </c>
      <c r="E19" s="431" t="s">
        <v>194</v>
      </c>
      <c r="F19" s="431"/>
      <c r="G19" s="431"/>
      <c r="H19" s="431"/>
      <c r="I19" s="431"/>
      <c r="J19" s="431"/>
      <c r="K19" s="431"/>
      <c r="L19" s="431"/>
      <c r="M19" s="431"/>
      <c r="N19" s="432"/>
    </row>
    <row r="20" spans="3:22" ht="55.5" hidden="1" customHeight="1" outlineLevel="1" thickTop="1" thickBot="1">
      <c r="C20" s="466"/>
      <c r="D20" s="43" t="s">
        <v>199</v>
      </c>
      <c r="E20" s="431" t="s">
        <v>194</v>
      </c>
      <c r="F20" s="431"/>
      <c r="G20" s="431"/>
      <c r="H20" s="431"/>
      <c r="I20" s="431"/>
      <c r="J20" s="431"/>
      <c r="K20" s="431"/>
      <c r="L20" s="431"/>
      <c r="M20" s="431"/>
      <c r="N20" s="432"/>
    </row>
    <row r="21" spans="3:22" ht="39" hidden="1" customHeight="1" outlineLevel="1" thickTop="1" thickBot="1">
      <c r="C21" s="466"/>
      <c r="D21" s="46" t="s">
        <v>200</v>
      </c>
      <c r="E21" s="431" t="s">
        <v>194</v>
      </c>
      <c r="F21" s="431"/>
      <c r="G21" s="431"/>
      <c r="H21" s="431"/>
      <c r="I21" s="431"/>
      <c r="J21" s="431"/>
      <c r="K21" s="431"/>
      <c r="L21" s="431"/>
      <c r="M21" s="431"/>
      <c r="N21" s="432"/>
    </row>
    <row r="22" spans="3:22" ht="37.5" hidden="1" customHeight="1" outlineLevel="1" thickTop="1" thickBot="1">
      <c r="C22" s="466"/>
      <c r="D22" s="46" t="s">
        <v>201</v>
      </c>
      <c r="E22" s="431" t="s">
        <v>194</v>
      </c>
      <c r="F22" s="431"/>
      <c r="G22" s="431"/>
      <c r="H22" s="431"/>
      <c r="I22" s="431"/>
      <c r="J22" s="431"/>
      <c r="K22" s="431"/>
      <c r="L22" s="431"/>
      <c r="M22" s="431"/>
      <c r="N22" s="432"/>
    </row>
    <row r="23" spans="3:22" ht="37.5" hidden="1" customHeight="1" outlineLevel="1" thickTop="1" thickBot="1">
      <c r="C23" s="466"/>
      <c r="D23" s="44"/>
      <c r="E23" s="619"/>
      <c r="F23" s="619"/>
      <c r="G23" s="619"/>
      <c r="H23" s="619"/>
      <c r="I23" s="619"/>
      <c r="J23" s="619"/>
      <c r="K23" s="619"/>
      <c r="L23" s="619"/>
      <c r="M23" s="619"/>
      <c r="N23" s="620"/>
    </row>
    <row r="24" spans="3:22" ht="35.25" customHeight="1" collapsed="1" thickTop="1">
      <c r="C24" s="418">
        <v>2</v>
      </c>
      <c r="D24" s="621" t="s">
        <v>455</v>
      </c>
      <c r="E24" s="622"/>
      <c r="F24" s="622"/>
      <c r="G24" s="622"/>
      <c r="H24" s="622"/>
      <c r="I24" s="622"/>
      <c r="J24" s="622"/>
      <c r="K24" s="622"/>
      <c r="L24" s="622"/>
      <c r="M24" s="622"/>
      <c r="N24" s="623"/>
      <c r="P24"/>
    </row>
    <row r="25" spans="3:22" ht="21" customHeight="1">
      <c r="C25" s="419"/>
      <c r="D25" s="624" t="s">
        <v>456</v>
      </c>
      <c r="E25" s="625"/>
      <c r="F25" s="625"/>
      <c r="G25" s="625"/>
      <c r="H25" s="625"/>
      <c r="I25" s="625"/>
      <c r="J25" s="625"/>
      <c r="K25" s="625"/>
      <c r="L25" s="625"/>
      <c r="M25" s="625"/>
      <c r="N25" s="626"/>
    </row>
    <row r="26" spans="3:22" ht="70.5" customHeight="1">
      <c r="C26" s="419"/>
      <c r="D26" s="49" t="s">
        <v>457</v>
      </c>
      <c r="E26" s="627" t="s">
        <v>458</v>
      </c>
      <c r="F26" s="628"/>
      <c r="G26" s="629"/>
      <c r="H26" s="627" t="s">
        <v>459</v>
      </c>
      <c r="I26" s="628"/>
      <c r="J26" s="629"/>
      <c r="K26" s="627" t="s">
        <v>460</v>
      </c>
      <c r="L26" s="628"/>
      <c r="M26" s="628"/>
      <c r="N26" s="630"/>
    </row>
    <row r="27" spans="3:22" ht="183.75" customHeight="1">
      <c r="C27" s="419"/>
      <c r="D27" s="43" t="s">
        <v>210</v>
      </c>
      <c r="E27" s="501"/>
      <c r="F27" s="502"/>
      <c r="G27" s="503"/>
      <c r="H27" s="501"/>
      <c r="I27" s="502"/>
      <c r="J27" s="503"/>
      <c r="K27" s="501"/>
      <c r="L27" s="502"/>
      <c r="M27" s="502"/>
      <c r="N27" s="504"/>
      <c r="S27"/>
    </row>
    <row r="28" spans="3:22" ht="409.6" customHeight="1">
      <c r="C28" s="419"/>
      <c r="D28" s="599" t="s">
        <v>461</v>
      </c>
      <c r="E28" s="613" t="s">
        <v>462</v>
      </c>
      <c r="F28" s="614"/>
      <c r="G28" s="614"/>
      <c r="H28" s="614"/>
      <c r="I28" s="614"/>
      <c r="J28" s="614"/>
      <c r="K28" s="614"/>
      <c r="L28" s="614"/>
      <c r="M28" s="614"/>
      <c r="N28" s="615"/>
      <c r="V28"/>
    </row>
    <row r="29" spans="3:22" ht="90" hidden="1" customHeight="1" thickTop="1" thickBot="1">
      <c r="C29" s="419"/>
      <c r="D29" s="611"/>
      <c r="E29" s="616"/>
      <c r="F29" s="617"/>
      <c r="G29" s="617"/>
      <c r="H29" s="617"/>
      <c r="I29" s="617"/>
      <c r="J29" s="617"/>
      <c r="K29" s="617"/>
      <c r="L29" s="617"/>
      <c r="M29" s="617"/>
      <c r="N29" s="618"/>
      <c r="U29" s="50"/>
    </row>
    <row r="30" spans="3:22" ht="156" hidden="1" customHeight="1" thickTop="1" thickBot="1">
      <c r="C30" s="419"/>
      <c r="D30" s="611"/>
      <c r="E30" s="616"/>
      <c r="F30" s="617"/>
      <c r="G30" s="617"/>
      <c r="H30" s="617"/>
      <c r="I30" s="617"/>
      <c r="J30" s="617"/>
      <c r="K30" s="617"/>
      <c r="L30" s="617"/>
      <c r="M30" s="617"/>
      <c r="N30" s="618"/>
    </row>
    <row r="31" spans="3:22" ht="25.5" hidden="1" customHeight="1">
      <c r="C31" s="419"/>
      <c r="D31" s="612"/>
      <c r="E31" s="616"/>
      <c r="F31" s="617"/>
      <c r="G31" s="617"/>
      <c r="H31" s="617"/>
      <c r="I31" s="617"/>
      <c r="J31" s="617"/>
      <c r="K31" s="617"/>
      <c r="L31" s="617"/>
      <c r="M31" s="617"/>
      <c r="N31" s="618"/>
    </row>
    <row r="32" spans="3:22" ht="45.75" customHeight="1">
      <c r="C32" s="419"/>
      <c r="D32" s="46" t="s">
        <v>463</v>
      </c>
      <c r="E32" s="498" t="s">
        <v>464</v>
      </c>
      <c r="F32" s="499"/>
      <c r="G32" s="499"/>
      <c r="H32" s="499"/>
      <c r="I32" s="499"/>
      <c r="J32" s="499"/>
      <c r="K32" s="499"/>
      <c r="L32" s="499"/>
      <c r="M32" s="499"/>
      <c r="N32" s="505"/>
    </row>
    <row r="33" spans="3:19" ht="280.5" customHeight="1">
      <c r="C33" s="419"/>
      <c r="D33" s="46" t="s">
        <v>465</v>
      </c>
      <c r="E33" s="498" t="s">
        <v>466</v>
      </c>
      <c r="F33" s="499"/>
      <c r="G33" s="499"/>
      <c r="H33" s="499"/>
      <c r="I33" s="499"/>
      <c r="J33" s="499"/>
      <c r="K33" s="499"/>
      <c r="L33" s="499"/>
      <c r="M33" s="499"/>
      <c r="N33" s="505"/>
    </row>
    <row r="34" spans="3:19" ht="59.25" customHeight="1">
      <c r="C34" s="419"/>
      <c r="D34" s="46" t="s">
        <v>467</v>
      </c>
      <c r="E34" s="604" t="s">
        <v>468</v>
      </c>
      <c r="F34" s="605"/>
      <c r="G34" s="605"/>
      <c r="H34" s="605"/>
      <c r="I34" s="605"/>
      <c r="J34" s="605"/>
      <c r="K34" s="605"/>
      <c r="L34" s="605"/>
      <c r="M34" s="605"/>
      <c r="N34" s="606"/>
    </row>
    <row r="35" spans="3:19" ht="35.25" hidden="1" customHeight="1" outlineLevel="1">
      <c r="C35" s="419"/>
      <c r="D35" s="46" t="s">
        <v>219</v>
      </c>
      <c r="E35" s="498"/>
      <c r="F35" s="499"/>
      <c r="G35" s="499"/>
      <c r="H35" s="499"/>
      <c r="I35" s="499"/>
      <c r="J35" s="499"/>
      <c r="K35" s="499"/>
      <c r="L35" s="499"/>
      <c r="M35" s="499"/>
      <c r="N35" s="505"/>
    </row>
    <row r="36" spans="3:19" ht="63.75" customHeight="1" collapsed="1">
      <c r="C36" s="419"/>
      <c r="D36" s="49" t="s">
        <v>469</v>
      </c>
      <c r="E36" s="498" t="s">
        <v>470</v>
      </c>
      <c r="F36" s="499"/>
      <c r="G36" s="499"/>
      <c r="H36" s="499"/>
      <c r="I36" s="499"/>
      <c r="J36" s="499"/>
      <c r="K36" s="499"/>
      <c r="L36" s="499"/>
      <c r="M36" s="499"/>
      <c r="N36" s="505"/>
      <c r="P36" s="51">
        <f>E39+I39+M39</f>
        <v>5470.4</v>
      </c>
      <c r="R36" s="52">
        <f>(100*135)/10414</f>
        <v>1.2963318609564047</v>
      </c>
    </row>
    <row r="37" spans="3:19" ht="48.75" customHeight="1">
      <c r="C37" s="419"/>
      <c r="D37" s="49" t="s">
        <v>471</v>
      </c>
      <c r="E37" s="607">
        <f>'[39]База данных'!L373+'[39]База данных'!K406</f>
        <v>5.4304493950451311</v>
      </c>
      <c r="F37" s="608"/>
      <c r="G37" s="608"/>
      <c r="H37" s="609"/>
      <c r="I37" s="607">
        <f>'[39]База данных'!K437</f>
        <v>0.99793931246399081</v>
      </c>
      <c r="J37" s="608"/>
      <c r="K37" s="608"/>
      <c r="L37" s="609"/>
      <c r="M37" s="607">
        <f>'[39]База данных'!M475+'[39]База данных'!J503</f>
        <v>2.3204340311119647</v>
      </c>
      <c r="N37" s="610"/>
      <c r="P37" s="53">
        <f>(E37+I37+M37)/3</f>
        <v>2.916274246207029</v>
      </c>
    </row>
    <row r="38" spans="3:19" ht="35.25" customHeight="1">
      <c r="C38" s="419"/>
      <c r="D38" s="49" t="s">
        <v>472</v>
      </c>
      <c r="E38" s="445">
        <f>SUM(E39:N39)</f>
        <v>5470.4</v>
      </c>
      <c r="F38" s="451"/>
      <c r="G38" s="451"/>
      <c r="H38" s="451"/>
      <c r="I38" s="451"/>
      <c r="J38" s="451"/>
      <c r="K38" s="451"/>
      <c r="L38" s="451"/>
      <c r="M38" s="451"/>
      <c r="N38" s="452"/>
    </row>
    <row r="39" spans="3:19" ht="34.5" customHeight="1">
      <c r="C39" s="419"/>
      <c r="D39" s="49" t="s">
        <v>472</v>
      </c>
      <c r="E39" s="435">
        <f>(('[39]База данных'!BB12+2.5)*260)</f>
        <v>2730</v>
      </c>
      <c r="F39" s="437"/>
      <c r="G39" s="437"/>
      <c r="H39" s="436"/>
      <c r="I39" s="435">
        <f>'[39]База данных'!Y50*260</f>
        <v>36.400000000000006</v>
      </c>
      <c r="J39" s="437"/>
      <c r="K39" s="437"/>
      <c r="L39" s="436"/>
      <c r="M39" s="435">
        <f>('[39]База данных'!F7+'[39]База данных'!F8)/1000*16*260</f>
        <v>2704</v>
      </c>
      <c r="N39" s="438"/>
      <c r="P39" s="54">
        <f>M39*50%</f>
        <v>1352</v>
      </c>
    </row>
    <row r="40" spans="3:19" ht="24.75" customHeight="1">
      <c r="C40" s="419"/>
      <c r="D40" s="599" t="s">
        <v>473</v>
      </c>
      <c r="E40" s="435">
        <f>E39*E37*1000</f>
        <v>14825126.848473208</v>
      </c>
      <c r="F40" s="437"/>
      <c r="G40" s="437"/>
      <c r="H40" s="437"/>
      <c r="I40" s="437">
        <f>I39*I37*1000</f>
        <v>36324.990973689273</v>
      </c>
      <c r="J40" s="437"/>
      <c r="K40" s="437"/>
      <c r="L40" s="437"/>
      <c r="M40" s="437">
        <f>M39*M37*1000</f>
        <v>6274453.6201267531</v>
      </c>
      <c r="N40" s="438"/>
      <c r="R40" s="55">
        <f>9990/10414</f>
        <v>0.95928557710773954</v>
      </c>
    </row>
    <row r="41" spans="3:19" ht="23.25" customHeight="1" thickBot="1">
      <c r="C41" s="420"/>
      <c r="D41" s="600"/>
      <c r="E41" s="601">
        <f>SUM(E40:N40)</f>
        <v>21135905.459573649</v>
      </c>
      <c r="F41" s="602"/>
      <c r="G41" s="602"/>
      <c r="H41" s="602"/>
      <c r="I41" s="602"/>
      <c r="J41" s="602"/>
      <c r="K41" s="602"/>
      <c r="L41" s="602"/>
      <c r="M41" s="602"/>
      <c r="N41" s="603"/>
      <c r="P41" s="55">
        <f>0.5*16*260</f>
        <v>2080</v>
      </c>
      <c r="Q41" s="56">
        <f>P41/M39</f>
        <v>0.76923076923076927</v>
      </c>
    </row>
    <row r="42" spans="3:19" ht="34.5" customHeight="1" thickTop="1" thickBot="1">
      <c r="C42" s="466">
        <v>3</v>
      </c>
      <c r="D42" s="467" t="s">
        <v>474</v>
      </c>
      <c r="E42" s="468"/>
      <c r="F42" s="468"/>
      <c r="G42" s="468"/>
      <c r="H42" s="468"/>
      <c r="I42" s="468"/>
      <c r="J42" s="468"/>
      <c r="K42" s="468"/>
      <c r="L42" s="468"/>
      <c r="M42" s="468"/>
      <c r="N42" s="469"/>
      <c r="P42" s="57">
        <f>0.15*16*260</f>
        <v>624</v>
      </c>
      <c r="Q42" s="56">
        <f>P42/M39</f>
        <v>0.23076923076923078</v>
      </c>
    </row>
    <row r="43" spans="3:19" ht="24.75" customHeight="1" thickTop="1" thickBot="1">
      <c r="C43" s="466"/>
      <c r="D43" s="579" t="s">
        <v>120</v>
      </c>
      <c r="E43" s="580"/>
      <c r="F43" s="580"/>
      <c r="G43" s="580"/>
      <c r="H43" s="580"/>
      <c r="I43" s="580"/>
      <c r="J43" s="580"/>
      <c r="K43" s="580"/>
      <c r="L43" s="580"/>
      <c r="M43" s="580"/>
      <c r="N43" s="581"/>
    </row>
    <row r="44" spans="3:19" ht="24.75" customHeight="1" thickTop="1" thickBot="1">
      <c r="C44" s="466"/>
      <c r="D44" s="582" t="s">
        <v>475</v>
      </c>
      <c r="E44" s="481"/>
      <c r="F44" s="481"/>
      <c r="G44" s="481"/>
      <c r="H44" s="481"/>
      <c r="I44" s="481"/>
      <c r="J44" s="481"/>
      <c r="K44" s="481"/>
      <c r="L44" s="481"/>
      <c r="M44" s="481"/>
      <c r="N44" s="482"/>
    </row>
    <row r="45" spans="3:19" ht="32.25" customHeight="1" thickTop="1" thickBot="1">
      <c r="C45" s="466"/>
      <c r="D45" s="49" t="s">
        <v>476</v>
      </c>
      <c r="E45" s="459" t="s">
        <v>477</v>
      </c>
      <c r="F45" s="459"/>
      <c r="G45" s="459"/>
      <c r="H45" s="459"/>
      <c r="I45" s="459"/>
      <c r="J45" s="459"/>
      <c r="K45" s="459"/>
      <c r="L45" s="459"/>
      <c r="M45" s="459"/>
      <c r="N45" s="460"/>
      <c r="P45" s="57">
        <f>P42*25%</f>
        <v>156</v>
      </c>
    </row>
    <row r="46" spans="3:19" ht="34.5" customHeight="1" thickTop="1" thickBot="1">
      <c r="C46" s="466"/>
      <c r="D46" s="49" t="s">
        <v>478</v>
      </c>
      <c r="E46" s="492" t="s">
        <v>479</v>
      </c>
      <c r="F46" s="492"/>
      <c r="G46" s="492"/>
      <c r="H46" s="492"/>
      <c r="I46" s="492"/>
      <c r="J46" s="492"/>
      <c r="K46" s="492"/>
      <c r="L46" s="492"/>
      <c r="M46" s="492"/>
      <c r="N46" s="493"/>
      <c r="S46" s="58"/>
    </row>
    <row r="47" spans="3:19" ht="38.25" customHeight="1" thickTop="1" thickBot="1">
      <c r="C47" s="466"/>
      <c r="D47" s="49" t="s">
        <v>480</v>
      </c>
      <c r="E47" s="590">
        <f>15000000*'[39]База данных'!Q85*365</f>
        <v>1149750</v>
      </c>
      <c r="F47" s="591"/>
      <c r="G47" s="591"/>
      <c r="H47" s="591"/>
      <c r="I47" s="591"/>
      <c r="J47" s="591"/>
      <c r="K47" s="591"/>
      <c r="L47" s="591"/>
      <c r="M47" s="591"/>
      <c r="N47" s="592"/>
      <c r="P47" s="55">
        <f>2.5*260</f>
        <v>650</v>
      </c>
    </row>
    <row r="48" spans="3:19" ht="38.25" hidden="1" customHeight="1" thickTop="1" thickBot="1">
      <c r="C48" s="466"/>
      <c r="D48" s="46" t="s">
        <v>232</v>
      </c>
      <c r="E48" s="593"/>
      <c r="F48" s="594"/>
      <c r="G48" s="594"/>
      <c r="H48" s="594"/>
      <c r="I48" s="594"/>
      <c r="J48" s="594"/>
      <c r="K48" s="594"/>
      <c r="L48" s="594"/>
      <c r="M48" s="594"/>
      <c r="N48" s="595"/>
    </row>
    <row r="49" spans="3:19" ht="47.25" hidden="1" customHeight="1" outlineLevel="1" thickTop="1" thickBot="1">
      <c r="C49" s="466"/>
      <c r="D49" s="46" t="s">
        <v>233</v>
      </c>
      <c r="E49" s="596">
        <f>'[39]База данных'!F102</f>
        <v>58.03</v>
      </c>
      <c r="F49" s="597"/>
      <c r="G49" s="597"/>
      <c r="H49" s="597"/>
      <c r="I49" s="597"/>
      <c r="J49" s="597"/>
      <c r="K49" s="597"/>
      <c r="L49" s="597"/>
      <c r="M49" s="597"/>
      <c r="N49" s="598"/>
    </row>
    <row r="50" spans="3:19" ht="36" customHeight="1" collapsed="1" thickTop="1" thickBot="1">
      <c r="C50" s="466"/>
      <c r="D50" s="46" t="s">
        <v>481</v>
      </c>
      <c r="E50" s="596">
        <f>'[39]База данных'!G102</f>
        <v>383335</v>
      </c>
      <c r="F50" s="597"/>
      <c r="G50" s="597"/>
      <c r="H50" s="597"/>
      <c r="I50" s="597"/>
      <c r="J50" s="597"/>
      <c r="K50" s="597"/>
      <c r="L50" s="597"/>
      <c r="M50" s="597"/>
      <c r="N50" s="598"/>
    </row>
    <row r="51" spans="3:19" ht="21" customHeight="1" thickTop="1" thickBot="1">
      <c r="C51" s="466"/>
      <c r="D51" s="49" t="s">
        <v>482</v>
      </c>
      <c r="E51" s="583">
        <v>0.1</v>
      </c>
      <c r="F51" s="583"/>
      <c r="G51" s="583"/>
      <c r="H51" s="583"/>
      <c r="I51" s="583"/>
      <c r="J51" s="583"/>
      <c r="K51" s="583"/>
      <c r="L51" s="583"/>
      <c r="M51" s="583"/>
      <c r="N51" s="584"/>
    </row>
    <row r="52" spans="3:19" ht="24.75" customHeight="1" thickTop="1" thickBot="1">
      <c r="C52" s="466"/>
      <c r="D52" s="49" t="s">
        <v>483</v>
      </c>
      <c r="E52" s="585">
        <f>E47*P37*1000</f>
        <v>3352986314.5765319</v>
      </c>
      <c r="F52" s="472"/>
      <c r="G52" s="472"/>
      <c r="H52" s="472"/>
      <c r="I52" s="472"/>
      <c r="J52" s="472"/>
      <c r="K52" s="472"/>
      <c r="L52" s="472"/>
      <c r="M52" s="472"/>
      <c r="N52" s="586"/>
    </row>
    <row r="53" spans="3:19" ht="24.75" hidden="1" customHeight="1" outlineLevel="1" thickTop="1" thickBot="1">
      <c r="C53" s="466"/>
      <c r="D53" s="49" t="s">
        <v>237</v>
      </c>
      <c r="E53" s="472">
        <f>E52*E37*1000</f>
        <v>18208222503586.73</v>
      </c>
      <c r="F53" s="472"/>
      <c r="G53" s="472"/>
      <c r="H53" s="472"/>
      <c r="I53" s="472"/>
      <c r="J53" s="472"/>
      <c r="K53" s="472"/>
      <c r="L53" s="472"/>
      <c r="M53" s="472"/>
      <c r="N53" s="586"/>
    </row>
    <row r="54" spans="3:19" ht="27" customHeight="1" collapsed="1" thickTop="1" thickBot="1">
      <c r="C54" s="466"/>
      <c r="D54" s="567" t="s">
        <v>484</v>
      </c>
      <c r="E54" s="459"/>
      <c r="F54" s="459"/>
      <c r="G54" s="459"/>
      <c r="H54" s="459"/>
      <c r="I54" s="459"/>
      <c r="J54" s="459"/>
      <c r="K54" s="459"/>
      <c r="L54" s="459"/>
      <c r="M54" s="459"/>
      <c r="N54" s="460"/>
    </row>
    <row r="55" spans="3:19" ht="32.25" customHeight="1" thickTop="1" thickBot="1">
      <c r="C55" s="466"/>
      <c r="D55" s="59" t="s">
        <v>485</v>
      </c>
      <c r="E55" s="60"/>
      <c r="F55" s="60">
        <v>2017</v>
      </c>
      <c r="G55" s="60">
        <v>2018</v>
      </c>
      <c r="H55" s="60" t="s">
        <v>486</v>
      </c>
      <c r="I55" s="60"/>
      <c r="J55" s="61"/>
      <c r="K55" s="61"/>
      <c r="L55" s="61"/>
      <c r="M55" s="61"/>
      <c r="N55" s="62"/>
      <c r="S55" s="58"/>
    </row>
    <row r="56" spans="3:19" ht="40.5" customHeight="1" thickTop="1" thickBot="1">
      <c r="C56" s="466"/>
      <c r="D56" s="63" t="s">
        <v>487</v>
      </c>
      <c r="E56" s="61"/>
      <c r="F56" s="64"/>
      <c r="G56" s="64"/>
      <c r="H56" s="64">
        <f>'[39]База данных'!O144</f>
        <v>32684</v>
      </c>
      <c r="I56" s="65"/>
      <c r="J56" s="66"/>
      <c r="K56" s="60"/>
      <c r="L56" s="60"/>
      <c r="M56" s="60"/>
      <c r="N56" s="67"/>
    </row>
    <row r="57" spans="3:19" ht="38.25" customHeight="1" thickTop="1" thickBot="1">
      <c r="C57" s="466"/>
      <c r="D57" s="63" t="s">
        <v>488</v>
      </c>
      <c r="E57" s="64"/>
      <c r="F57" s="64"/>
      <c r="G57" s="64"/>
      <c r="H57" s="64">
        <f>'[39]База данных'!I340</f>
        <v>0</v>
      </c>
      <c r="I57" s="68"/>
      <c r="J57" s="66"/>
      <c r="K57" s="60"/>
      <c r="L57" s="60"/>
      <c r="M57" s="60"/>
      <c r="N57" s="67"/>
    </row>
    <row r="58" spans="3:19" ht="37.5" customHeight="1" thickTop="1" thickBot="1">
      <c r="C58" s="466"/>
      <c r="D58" s="63" t="s">
        <v>489</v>
      </c>
      <c r="E58" s="459" t="s">
        <v>490</v>
      </c>
      <c r="F58" s="459"/>
      <c r="G58" s="459"/>
      <c r="H58" s="459"/>
      <c r="I58" s="459"/>
      <c r="J58" s="459"/>
      <c r="K58" s="459"/>
      <c r="L58" s="459"/>
      <c r="M58" s="459"/>
      <c r="N58" s="460"/>
    </row>
    <row r="59" spans="3:19" ht="37.5" customHeight="1" thickTop="1" thickBot="1">
      <c r="C59" s="466"/>
      <c r="D59" s="69" t="s">
        <v>491</v>
      </c>
      <c r="E59" s="587">
        <f>('[39]База данных'!L154-'[39]База данных'!L340+'[39]База данных'!I103)*1000000</f>
        <v>32722333.499999996</v>
      </c>
      <c r="F59" s="588"/>
      <c r="G59" s="588"/>
      <c r="H59" s="588"/>
      <c r="I59" s="588"/>
      <c r="J59" s="588"/>
      <c r="K59" s="588"/>
      <c r="L59" s="588"/>
      <c r="M59" s="588"/>
      <c r="N59" s="589"/>
    </row>
    <row r="60" spans="3:19" ht="21" customHeight="1" thickTop="1" thickBot="1">
      <c r="C60" s="466"/>
      <c r="D60" s="579" t="s">
        <v>121</v>
      </c>
      <c r="E60" s="580"/>
      <c r="F60" s="580"/>
      <c r="G60" s="580"/>
      <c r="H60" s="580"/>
      <c r="I60" s="580"/>
      <c r="J60" s="580"/>
      <c r="K60" s="580"/>
      <c r="L60" s="580"/>
      <c r="M60" s="580"/>
      <c r="N60" s="581"/>
    </row>
    <row r="61" spans="3:19" ht="21" hidden="1" customHeight="1" thickTop="1" thickBot="1">
      <c r="C61" s="466"/>
      <c r="D61" s="582" t="str">
        <f>D44</f>
        <v>Physical need forecast</v>
      </c>
      <c r="E61" s="481"/>
      <c r="F61" s="481"/>
      <c r="G61" s="481"/>
      <c r="H61" s="481"/>
      <c r="I61" s="481"/>
      <c r="J61" s="481"/>
      <c r="K61" s="481"/>
      <c r="L61" s="481"/>
      <c r="M61" s="481"/>
      <c r="N61" s="482"/>
    </row>
    <row r="62" spans="3:19" ht="24.75" customHeight="1" thickTop="1" thickBot="1">
      <c r="C62" s="466"/>
      <c r="D62" s="49" t="s">
        <v>476</v>
      </c>
      <c r="E62" s="459" t="s">
        <v>477</v>
      </c>
      <c r="F62" s="459"/>
      <c r="G62" s="459"/>
      <c r="H62" s="459"/>
      <c r="I62" s="459"/>
      <c r="J62" s="459"/>
      <c r="K62" s="459"/>
      <c r="L62" s="459"/>
      <c r="M62" s="459"/>
      <c r="N62" s="460"/>
    </row>
    <row r="63" spans="3:19" ht="24.75" customHeight="1" thickTop="1" thickBot="1">
      <c r="C63" s="466"/>
      <c r="D63" s="49" t="s">
        <v>492</v>
      </c>
      <c r="E63" s="498" t="s">
        <v>493</v>
      </c>
      <c r="F63" s="500"/>
      <c r="G63" s="498" t="s">
        <v>494</v>
      </c>
      <c r="H63" s="500"/>
      <c r="I63" s="498" t="s">
        <v>495</v>
      </c>
      <c r="J63" s="500"/>
      <c r="K63" s="498" t="s">
        <v>496</v>
      </c>
      <c r="L63" s="500"/>
      <c r="M63" s="60" t="s">
        <v>497</v>
      </c>
      <c r="N63" s="62"/>
    </row>
    <row r="64" spans="3:19" ht="29.25" customHeight="1" thickTop="1" thickBot="1">
      <c r="C64" s="466"/>
      <c r="D64" s="49" t="s">
        <v>498</v>
      </c>
      <c r="E64" s="435">
        <f>18000000+5000000+5000000+30000000</f>
        <v>58000000</v>
      </c>
      <c r="F64" s="436"/>
      <c r="G64" s="435">
        <v>146619690</v>
      </c>
      <c r="H64" s="436"/>
      <c r="I64" s="577">
        <v>41874143</v>
      </c>
      <c r="J64" s="578"/>
      <c r="K64" s="515"/>
      <c r="L64" s="518"/>
      <c r="M64" s="70"/>
      <c r="N64" s="71"/>
    </row>
    <row r="65" spans="3:14" ht="24.75" customHeight="1" thickTop="1" thickBot="1">
      <c r="C65" s="466"/>
      <c r="D65" s="46" t="s">
        <v>480</v>
      </c>
      <c r="E65" s="501">
        <f>'[39]База данных'!Q85</f>
        <v>2.1000000000000001E-4</v>
      </c>
      <c r="F65" s="503"/>
      <c r="G65" s="501">
        <f>E65</f>
        <v>2.1000000000000001E-4</v>
      </c>
      <c r="H65" s="503"/>
      <c r="I65" s="501">
        <f>E65</f>
        <v>2.1000000000000001E-4</v>
      </c>
      <c r="J65" s="503"/>
      <c r="K65" s="515"/>
      <c r="L65" s="518"/>
      <c r="M65" s="61"/>
      <c r="N65" s="62"/>
    </row>
    <row r="66" spans="3:14" ht="36" customHeight="1" thickTop="1" thickBot="1">
      <c r="C66" s="466"/>
      <c r="D66" s="49" t="s">
        <v>499</v>
      </c>
      <c r="E66" s="501"/>
      <c r="F66" s="503"/>
      <c r="G66" s="501"/>
      <c r="H66" s="503"/>
      <c r="I66" s="501"/>
      <c r="J66" s="503"/>
      <c r="K66" s="515"/>
      <c r="L66" s="518"/>
      <c r="M66" s="61"/>
      <c r="N66" s="62"/>
    </row>
    <row r="67" spans="3:14" ht="24.75" customHeight="1" thickTop="1" thickBot="1">
      <c r="C67" s="466"/>
      <c r="D67" s="49" t="s">
        <v>482</v>
      </c>
      <c r="E67" s="575">
        <v>0.05</v>
      </c>
      <c r="F67" s="576"/>
      <c r="G67" s="575">
        <v>0.05</v>
      </c>
      <c r="H67" s="576"/>
      <c r="I67" s="575">
        <v>0.05</v>
      </c>
      <c r="J67" s="576"/>
      <c r="K67" s="515"/>
      <c r="L67" s="518"/>
      <c r="M67" s="61"/>
      <c r="N67" s="62"/>
    </row>
    <row r="68" spans="3:14" ht="24.75" customHeight="1" thickTop="1" thickBot="1">
      <c r="C68" s="466"/>
      <c r="D68" s="49" t="s">
        <v>500</v>
      </c>
      <c r="E68" s="501"/>
      <c r="F68" s="503"/>
      <c r="G68" s="501"/>
      <c r="H68" s="503"/>
      <c r="I68" s="501"/>
      <c r="J68" s="503"/>
      <c r="K68" s="515"/>
      <c r="L68" s="518"/>
      <c r="M68" s="61"/>
      <c r="N68" s="62"/>
    </row>
    <row r="69" spans="3:14" ht="24.75" customHeight="1" thickTop="1" thickBot="1">
      <c r="C69" s="466"/>
      <c r="D69" s="49" t="s">
        <v>501</v>
      </c>
      <c r="E69" s="573">
        <f>E64*E65*$E$37*365</f>
        <v>24142148.87555214</v>
      </c>
      <c r="F69" s="574"/>
      <c r="G69" s="573">
        <f t="shared" ref="G69" si="0">G64*G65*$E$37*365</f>
        <v>61029558.34598799</v>
      </c>
      <c r="H69" s="574"/>
      <c r="I69" s="573">
        <f t="shared" ref="I69" si="1">I64*I65*$E$37*365</f>
        <v>17429858.523140684</v>
      </c>
      <c r="J69" s="574"/>
      <c r="K69" s="435"/>
      <c r="L69" s="436"/>
      <c r="M69" s="72"/>
      <c r="N69" s="73"/>
    </row>
    <row r="70" spans="3:14" ht="24.75" customHeight="1" thickTop="1" thickBot="1">
      <c r="C70" s="466"/>
      <c r="D70" s="49" t="s">
        <v>502</v>
      </c>
      <c r="E70" s="435">
        <f>E69+G69+I69</f>
        <v>102601565.74468081</v>
      </c>
      <c r="F70" s="437"/>
      <c r="G70" s="437"/>
      <c r="H70" s="437"/>
      <c r="I70" s="437"/>
      <c r="J70" s="437"/>
      <c r="K70" s="437"/>
      <c r="L70" s="437"/>
      <c r="M70" s="437"/>
      <c r="N70" s="438"/>
    </row>
    <row r="71" spans="3:14" ht="28.5" customHeight="1" thickTop="1" thickBot="1">
      <c r="C71" s="466"/>
      <c r="D71" s="567" t="s">
        <v>503</v>
      </c>
      <c r="E71" s="459"/>
      <c r="F71" s="459"/>
      <c r="G71" s="459"/>
      <c r="H71" s="459"/>
      <c r="I71" s="459"/>
      <c r="J71" s="459"/>
      <c r="K71" s="459"/>
      <c r="L71" s="459"/>
      <c r="M71" s="459"/>
      <c r="N71" s="460"/>
    </row>
    <row r="72" spans="3:14" ht="28.5" customHeight="1" thickTop="1" thickBot="1">
      <c r="C72" s="466"/>
      <c r="D72" s="59" t="s">
        <v>504</v>
      </c>
      <c r="E72" s="60"/>
      <c r="F72" s="60"/>
      <c r="G72" s="60">
        <v>2018</v>
      </c>
      <c r="H72" s="60">
        <v>2019</v>
      </c>
      <c r="I72" s="60"/>
      <c r="J72" s="61" t="s">
        <v>505</v>
      </c>
      <c r="K72" s="61"/>
      <c r="L72" s="61"/>
      <c r="M72" s="61"/>
      <c r="N72" s="62"/>
    </row>
    <row r="73" spans="3:14" ht="40.5" customHeight="1" thickTop="1" thickBot="1">
      <c r="C73" s="466"/>
      <c r="D73" s="63" t="s">
        <v>506</v>
      </c>
      <c r="E73" s="60"/>
      <c r="F73" s="74"/>
      <c r="G73" s="74">
        <v>8742</v>
      </c>
      <c r="H73" s="75">
        <v>4029</v>
      </c>
      <c r="I73" s="60"/>
      <c r="J73" s="76">
        <f>AVERAGE(F73:H73)</f>
        <v>6385.5</v>
      </c>
      <c r="K73" s="60"/>
      <c r="L73" s="60"/>
      <c r="M73" s="60"/>
      <c r="N73" s="67"/>
    </row>
    <row r="74" spans="3:14" ht="20.25" hidden="1" customHeight="1" thickTop="1" thickBot="1">
      <c r="C74" s="466"/>
      <c r="D74" s="63" t="s">
        <v>261</v>
      </c>
      <c r="F74" s="74"/>
      <c r="G74" s="74">
        <f>'[39]База данных'!H150</f>
        <v>0</v>
      </c>
      <c r="H74" s="74">
        <f>'[39]База данных'!I150</f>
        <v>0</v>
      </c>
      <c r="I74" s="60"/>
      <c r="J74" s="74">
        <f>AVERAGE(F74:H74)</f>
        <v>0</v>
      </c>
      <c r="K74" s="60"/>
      <c r="L74" s="60"/>
      <c r="M74" s="60"/>
      <c r="N74" s="67"/>
    </row>
    <row r="75" spans="3:14" ht="27" customHeight="1" thickTop="1" thickBot="1">
      <c r="C75" s="466"/>
      <c r="D75" s="63" t="s">
        <v>507</v>
      </c>
      <c r="E75" s="77"/>
      <c r="F75" s="74"/>
      <c r="G75" s="74">
        <v>21457</v>
      </c>
      <c r="H75" s="74">
        <v>16109</v>
      </c>
      <c r="I75" s="60"/>
      <c r="J75" s="76">
        <f>AVERAGE(F75:H75)</f>
        <v>18783</v>
      </c>
      <c r="K75" s="60"/>
      <c r="L75" s="60"/>
      <c r="M75" s="60"/>
      <c r="N75" s="67"/>
    </row>
    <row r="76" spans="3:14" ht="36.75" customHeight="1" thickTop="1" thickBot="1">
      <c r="C76" s="466"/>
      <c r="D76" s="63" t="s">
        <v>508</v>
      </c>
      <c r="E76" s="77"/>
      <c r="F76" s="74"/>
      <c r="G76" s="74">
        <v>25029</v>
      </c>
      <c r="H76" s="74">
        <v>23100</v>
      </c>
      <c r="I76" s="60"/>
      <c r="J76" s="76">
        <f>AVERAGE(F76:H76)</f>
        <v>24064.5</v>
      </c>
      <c r="K76" s="60"/>
      <c r="L76" s="60"/>
      <c r="M76" s="60"/>
      <c r="N76" s="67"/>
    </row>
    <row r="77" spans="3:14" ht="33.75" hidden="1" customHeight="1" thickTop="1" thickBot="1">
      <c r="C77" s="466"/>
      <c r="D77" s="63" t="s">
        <v>263</v>
      </c>
      <c r="E77" s="431"/>
      <c r="F77" s="431"/>
      <c r="G77" s="431"/>
      <c r="H77" s="431"/>
      <c r="I77" s="431"/>
      <c r="J77" s="431"/>
      <c r="K77" s="431"/>
      <c r="L77" s="431"/>
      <c r="M77" s="431"/>
      <c r="N77" s="432"/>
    </row>
    <row r="78" spans="3:14" ht="30" customHeight="1" thickTop="1" thickBot="1">
      <c r="C78" s="466"/>
      <c r="D78" s="69" t="s">
        <v>509</v>
      </c>
      <c r="E78" s="568">
        <f>(H73+G73+H75+G75+H76)/2*1000000+G76*0.1*1000000</f>
        <v>39221400000</v>
      </c>
      <c r="F78" s="568"/>
      <c r="G78" s="568"/>
      <c r="H78" s="568"/>
      <c r="I78" s="568"/>
      <c r="J78" s="568"/>
      <c r="K78" s="568"/>
      <c r="L78" s="568"/>
      <c r="M78" s="568"/>
      <c r="N78" s="569"/>
    </row>
    <row r="79" spans="3:14" ht="21" customHeight="1" thickTop="1" thickBot="1">
      <c r="C79" s="466"/>
      <c r="D79" s="570" t="s">
        <v>510</v>
      </c>
      <c r="E79" s="571"/>
      <c r="F79" s="571"/>
      <c r="G79" s="571"/>
      <c r="H79" s="571"/>
      <c r="I79" s="571"/>
      <c r="J79" s="571"/>
      <c r="K79" s="571"/>
      <c r="L79" s="571"/>
      <c r="M79" s="571"/>
      <c r="N79" s="572"/>
    </row>
    <row r="80" spans="3:14" ht="74.25" customHeight="1" thickTop="1" thickBot="1">
      <c r="C80" s="466"/>
      <c r="D80" s="59" t="s">
        <v>511</v>
      </c>
      <c r="E80" s="431" t="s">
        <v>512</v>
      </c>
      <c r="F80" s="431"/>
      <c r="G80" s="431"/>
      <c r="H80" s="431"/>
      <c r="I80" s="431"/>
      <c r="J80" s="431"/>
      <c r="K80" s="431"/>
      <c r="L80" s="431"/>
      <c r="M80" s="431"/>
      <c r="N80" s="432"/>
    </row>
    <row r="81" spans="3:19" ht="24.75" customHeight="1" thickTop="1" thickBot="1">
      <c r="C81" s="466"/>
      <c r="D81" s="78" t="s">
        <v>513</v>
      </c>
      <c r="E81" s="560">
        <f>E78</f>
        <v>39221400000</v>
      </c>
      <c r="F81" s="560"/>
      <c r="G81" s="560"/>
      <c r="H81" s="560"/>
      <c r="I81" s="560"/>
      <c r="J81" s="560">
        <f>E59</f>
        <v>32722333.499999996</v>
      </c>
      <c r="K81" s="560"/>
      <c r="L81" s="560"/>
      <c r="M81" s="560"/>
      <c r="N81" s="561"/>
    </row>
    <row r="82" spans="3:19" ht="36.75" customHeight="1" thickTop="1" thickBot="1">
      <c r="C82" s="466"/>
      <c r="D82" s="78" t="s">
        <v>514</v>
      </c>
      <c r="E82" s="562">
        <v>0.5</v>
      </c>
      <c r="F82" s="562"/>
      <c r="G82" s="562"/>
      <c r="H82" s="562"/>
      <c r="I82" s="562"/>
      <c r="J82" s="562">
        <f>1-E82</f>
        <v>0.5</v>
      </c>
      <c r="K82" s="562"/>
      <c r="L82" s="562"/>
      <c r="M82" s="562"/>
      <c r="N82" s="563"/>
    </row>
    <row r="83" spans="3:19" ht="21.75" customHeight="1" thickTop="1" thickBot="1">
      <c r="C83" s="466"/>
      <c r="D83" s="79" t="s">
        <v>515</v>
      </c>
      <c r="E83" s="564">
        <f>E82*$E$41/E81</f>
        <v>2.6944353668626885E-4</v>
      </c>
      <c r="F83" s="564"/>
      <c r="G83" s="564"/>
      <c r="H83" s="564"/>
      <c r="I83" s="564"/>
      <c r="J83" s="565">
        <f>J82*$E$41/J81</f>
        <v>0.32295840789553792</v>
      </c>
      <c r="K83" s="565"/>
      <c r="L83" s="565"/>
      <c r="M83" s="565"/>
      <c r="N83" s="566"/>
    </row>
    <row r="84" spans="3:19" ht="35.25" thickTop="1" thickBot="1">
      <c r="C84" s="466">
        <v>4</v>
      </c>
      <c r="D84" s="467" t="s">
        <v>516</v>
      </c>
      <c r="E84" s="468"/>
      <c r="F84" s="468"/>
      <c r="G84" s="468"/>
      <c r="H84" s="468"/>
      <c r="I84" s="468"/>
      <c r="J84" s="468"/>
      <c r="K84" s="468"/>
      <c r="L84" s="468"/>
      <c r="M84" s="468"/>
      <c r="N84" s="469"/>
    </row>
    <row r="85" spans="3:19" ht="54.75" customHeight="1" thickTop="1" thickBot="1">
      <c r="C85" s="466"/>
      <c r="D85" s="80" t="s">
        <v>517</v>
      </c>
      <c r="E85" s="512" t="s">
        <v>518</v>
      </c>
      <c r="F85" s="513"/>
      <c r="G85" s="513"/>
      <c r="H85" s="513"/>
      <c r="I85" s="513"/>
      <c r="J85" s="513"/>
      <c r="K85" s="513"/>
      <c r="L85" s="513"/>
      <c r="M85" s="513"/>
      <c r="N85" s="514"/>
    </row>
    <row r="86" spans="3:19" ht="42" hidden="1" customHeight="1" thickTop="1" thickBot="1">
      <c r="C86" s="466"/>
      <c r="D86" s="553" t="s">
        <v>519</v>
      </c>
      <c r="E86" s="81">
        <v>1</v>
      </c>
      <c r="F86" s="81">
        <v>2</v>
      </c>
      <c r="G86" s="81">
        <v>3</v>
      </c>
      <c r="H86" s="81">
        <v>4</v>
      </c>
      <c r="I86" s="81">
        <v>5</v>
      </c>
      <c r="J86" s="81">
        <v>6</v>
      </c>
      <c r="K86" s="81">
        <v>7</v>
      </c>
      <c r="L86" s="81">
        <v>8</v>
      </c>
      <c r="M86" s="81">
        <v>9</v>
      </c>
      <c r="N86" s="82">
        <v>10</v>
      </c>
    </row>
    <row r="87" spans="3:19" ht="53.25" customHeight="1" thickTop="1" thickBot="1">
      <c r="C87" s="466"/>
      <c r="D87" s="554"/>
      <c r="E87" s="498" t="s">
        <v>520</v>
      </c>
      <c r="F87" s="500"/>
      <c r="G87" s="498" t="s">
        <v>521</v>
      </c>
      <c r="H87" s="500"/>
      <c r="I87" s="498" t="s">
        <v>277</v>
      </c>
      <c r="J87" s="500"/>
      <c r="K87" s="555" t="s">
        <v>278</v>
      </c>
      <c r="L87" s="556"/>
      <c r="M87" s="556"/>
      <c r="N87" s="557"/>
    </row>
    <row r="88" spans="3:19" ht="192" customHeight="1" thickTop="1" thickBot="1">
      <c r="C88" s="466"/>
      <c r="D88" s="63" t="s">
        <v>522</v>
      </c>
      <c r="E88" s="558" t="s">
        <v>523</v>
      </c>
      <c r="F88" s="559"/>
      <c r="G88" s="435" t="s">
        <v>524</v>
      </c>
      <c r="H88" s="436"/>
      <c r="I88" s="435" t="s">
        <v>525</v>
      </c>
      <c r="J88" s="436"/>
      <c r="K88" s="435" t="s">
        <v>526</v>
      </c>
      <c r="L88" s="437"/>
      <c r="M88" s="437"/>
      <c r="N88" s="438"/>
      <c r="S88"/>
    </row>
    <row r="89" spans="3:19" ht="144" hidden="1" customHeight="1" outlineLevel="1" thickTop="1" thickBot="1">
      <c r="C89" s="466"/>
      <c r="D89" s="63" t="s">
        <v>284</v>
      </c>
      <c r="E89" s="549" t="s">
        <v>285</v>
      </c>
      <c r="F89" s="550"/>
      <c r="G89" s="549" t="s">
        <v>286</v>
      </c>
      <c r="H89" s="550"/>
      <c r="I89" s="549" t="s">
        <v>287</v>
      </c>
      <c r="J89" s="550"/>
      <c r="K89" s="549" t="s">
        <v>288</v>
      </c>
      <c r="L89" s="551"/>
      <c r="M89" s="551"/>
      <c r="N89" s="552"/>
    </row>
    <row r="90" spans="3:19" ht="21" customHeight="1" collapsed="1" thickTop="1" thickBot="1">
      <c r="C90" s="466"/>
      <c r="D90" s="63" t="s">
        <v>527</v>
      </c>
      <c r="E90" s="542">
        <f>'[39]База данных'!E530</f>
        <v>2838017.8926825034</v>
      </c>
      <c r="F90" s="543"/>
      <c r="G90" s="542">
        <f>145495534.8/10414</f>
        <v>13971.147954676399</v>
      </c>
      <c r="H90" s="543"/>
      <c r="I90" s="445">
        <f>24942091.68/10414</f>
        <v>2395.0539350873823</v>
      </c>
      <c r="J90" s="446"/>
      <c r="K90" s="445" t="s">
        <v>290</v>
      </c>
      <c r="L90" s="451"/>
      <c r="M90" s="451"/>
      <c r="N90" s="452"/>
    </row>
    <row r="91" spans="3:19" ht="185.25" customHeight="1" thickTop="1" thickBot="1">
      <c r="C91" s="466"/>
      <c r="D91" s="63" t="s">
        <v>528</v>
      </c>
      <c r="E91" s="544" t="s">
        <v>292</v>
      </c>
      <c r="F91" s="545"/>
      <c r="G91" s="544" t="s">
        <v>293</v>
      </c>
      <c r="H91" s="546"/>
      <c r="I91" s="544" t="s">
        <v>294</v>
      </c>
      <c r="J91" s="546"/>
      <c r="K91" s="544" t="s">
        <v>295</v>
      </c>
      <c r="L91" s="547"/>
      <c r="M91" s="547"/>
      <c r="N91" s="548"/>
    </row>
    <row r="92" spans="3:19" ht="112.5" customHeight="1" thickTop="1" thickBot="1">
      <c r="C92" s="466"/>
      <c r="D92" s="63" t="s">
        <v>529</v>
      </c>
      <c r="E92" s="539" t="s">
        <v>530</v>
      </c>
      <c r="F92" s="539"/>
      <c r="G92" s="539"/>
      <c r="H92" s="539"/>
      <c r="I92" s="539"/>
      <c r="J92" s="539"/>
      <c r="K92" s="539"/>
      <c r="L92" s="539"/>
      <c r="M92" s="539"/>
      <c r="N92" s="540"/>
    </row>
    <row r="93" spans="3:19" ht="46.5" customHeight="1" thickTop="1" thickBot="1">
      <c r="C93" s="466"/>
      <c r="D93" s="63" t="s">
        <v>531</v>
      </c>
      <c r="E93" s="431" t="s">
        <v>532</v>
      </c>
      <c r="F93" s="431"/>
      <c r="G93" s="431"/>
      <c r="H93" s="431"/>
      <c r="I93" s="431"/>
      <c r="J93" s="431"/>
      <c r="K93" s="431"/>
      <c r="L93" s="431"/>
      <c r="M93" s="431"/>
      <c r="N93" s="432"/>
    </row>
    <row r="94" spans="3:19" ht="36.75" customHeight="1" thickTop="1" thickBot="1">
      <c r="C94" s="466"/>
      <c r="D94" s="541" t="s">
        <v>533</v>
      </c>
      <c r="E94" s="431" t="s">
        <v>534</v>
      </c>
      <c r="F94" s="431"/>
      <c r="G94" s="431"/>
      <c r="H94" s="431"/>
      <c r="I94" s="431"/>
      <c r="J94" s="431"/>
      <c r="K94" s="431"/>
      <c r="L94" s="431"/>
      <c r="M94" s="431"/>
      <c r="N94" s="432"/>
    </row>
    <row r="95" spans="3:19" ht="36.75" hidden="1" customHeight="1" outlineLevel="1" thickTop="1" thickBot="1">
      <c r="C95" s="466"/>
      <c r="D95" s="541"/>
      <c r="E95" s="498" t="s">
        <v>302</v>
      </c>
      <c r="F95" s="499"/>
      <c r="G95" s="499"/>
      <c r="H95" s="499"/>
      <c r="I95" s="500"/>
      <c r="J95" s="431" t="s">
        <v>194</v>
      </c>
      <c r="K95" s="431"/>
      <c r="L95" s="431"/>
      <c r="M95" s="431"/>
      <c r="N95" s="432"/>
    </row>
    <row r="96" spans="3:19" ht="36.75" hidden="1" customHeight="1" outlineLevel="1" thickTop="1" thickBot="1">
      <c r="C96" s="466"/>
      <c r="D96" s="541"/>
      <c r="E96" s="431" t="s">
        <v>303</v>
      </c>
      <c r="F96" s="431"/>
      <c r="G96" s="431"/>
      <c r="H96" s="431"/>
      <c r="I96" s="60"/>
      <c r="J96" s="431" t="s">
        <v>194</v>
      </c>
      <c r="K96" s="431"/>
      <c r="L96" s="431"/>
      <c r="M96" s="431"/>
      <c r="N96" s="432"/>
    </row>
    <row r="97" spans="3:16" ht="33" customHeight="1" collapsed="1" thickTop="1" thickBot="1">
      <c r="C97" s="466"/>
      <c r="D97" s="63" t="s">
        <v>535</v>
      </c>
      <c r="E97" s="527">
        <f>24*72</f>
        <v>1728</v>
      </c>
      <c r="F97" s="531"/>
      <c r="G97" s="531"/>
      <c r="H97" s="531"/>
      <c r="I97" s="532"/>
      <c r="J97" s="431" t="s">
        <v>175</v>
      </c>
      <c r="K97" s="431"/>
      <c r="L97" s="431"/>
      <c r="M97" s="431"/>
      <c r="N97" s="432"/>
    </row>
    <row r="98" spans="3:16" ht="35.25" customHeight="1" thickTop="1" thickBot="1">
      <c r="C98" s="466"/>
      <c r="D98" s="69" t="s">
        <v>536</v>
      </c>
      <c r="E98" s="533">
        <v>50</v>
      </c>
      <c r="F98" s="534"/>
      <c r="G98" s="534"/>
      <c r="H98" s="534"/>
      <c r="I98" s="535"/>
      <c r="J98" s="431" t="s">
        <v>175</v>
      </c>
      <c r="K98" s="431"/>
      <c r="L98" s="431"/>
      <c r="M98" s="431"/>
      <c r="N98" s="432"/>
    </row>
    <row r="99" spans="3:16" ht="21.75" customHeight="1" thickTop="1" thickBot="1">
      <c r="C99" s="466"/>
      <c r="D99" s="536" t="s">
        <v>537</v>
      </c>
      <c r="E99" s="537"/>
      <c r="F99" s="537"/>
      <c r="G99" s="537"/>
      <c r="H99" s="537"/>
      <c r="I99" s="537"/>
      <c r="J99" s="537"/>
      <c r="K99" s="537"/>
      <c r="L99" s="537"/>
      <c r="M99" s="537"/>
      <c r="N99" s="538"/>
    </row>
    <row r="100" spans="3:16" ht="107.25" customHeight="1" thickTop="1" thickBot="1">
      <c r="C100" s="466"/>
      <c r="D100" s="63" t="s">
        <v>538</v>
      </c>
      <c r="E100" s="494" t="str">
        <f>E92</f>
        <v>Soybean production process: sowing --- harvesting --- Grain stillage production → low temperature stillage → automatic measurement → first leaching → divider → re-leaching → divider → soy milk → sedimentation → divider → acid treatment → neutralization → isotropy → disinfect → drying → divider → sorting → cooling → finished product tank → packaging → finished product</v>
      </c>
      <c r="F100" s="494"/>
      <c r="G100" s="494"/>
      <c r="H100" s="494"/>
      <c r="I100" s="494"/>
      <c r="J100" s="494"/>
      <c r="K100" s="494"/>
      <c r="L100" s="494"/>
      <c r="M100" s="494"/>
      <c r="N100" s="495"/>
    </row>
    <row r="101" spans="3:16" ht="83.25" customHeight="1" thickTop="1" thickBot="1">
      <c r="C101" s="466"/>
      <c r="D101" s="63" t="s">
        <v>539</v>
      </c>
      <c r="E101" s="521" t="str">
        <f>E88</f>
        <v xml:space="preserve">Productivity Soy protein isolated: 8 tons / day Amount of received milk: 500 liters / hour
Amount of received tofu: 150kg / hour
Duration of one cycle - 1 hour
Productivity in 24 hours: To produce 140 kg of soy asparagus, 200 kg of soy is needed </v>
      </c>
      <c r="F101" s="521"/>
      <c r="G101" s="521"/>
      <c r="H101" s="521"/>
      <c r="I101" s="521"/>
      <c r="J101" s="521"/>
      <c r="K101" s="521"/>
      <c r="L101" s="521"/>
      <c r="M101" s="521"/>
      <c r="N101" s="522"/>
    </row>
    <row r="102" spans="3:16" ht="16.5" customHeight="1" thickTop="1" thickBot="1">
      <c r="C102" s="466"/>
      <c r="D102" s="63" t="s">
        <v>540</v>
      </c>
      <c r="E102" s="523" t="s">
        <v>541</v>
      </c>
      <c r="F102" s="523"/>
      <c r="G102" s="523"/>
      <c r="H102" s="523"/>
      <c r="I102" s="523"/>
      <c r="J102" s="523"/>
      <c r="K102" s="523"/>
      <c r="L102" s="523"/>
      <c r="M102" s="523"/>
      <c r="N102" s="524"/>
    </row>
    <row r="103" spans="3:16" ht="16.5" customHeight="1" thickTop="1" thickBot="1">
      <c r="C103" s="466"/>
      <c r="D103" s="63" t="s">
        <v>542</v>
      </c>
      <c r="E103" s="525">
        <f>'[39]База данных'!E530</f>
        <v>2838017.8926825034</v>
      </c>
      <c r="F103" s="525"/>
      <c r="G103" s="525"/>
      <c r="H103" s="525"/>
      <c r="I103" s="525"/>
      <c r="J103" s="525"/>
      <c r="K103" s="525"/>
      <c r="L103" s="525"/>
      <c r="M103" s="525"/>
      <c r="N103" s="526"/>
    </row>
    <row r="104" spans="3:16" ht="18" customHeight="1" thickTop="1" thickBot="1">
      <c r="C104" s="466"/>
      <c r="D104" s="63" t="s">
        <v>543</v>
      </c>
      <c r="E104" s="527">
        <f>E97</f>
        <v>1728</v>
      </c>
      <c r="F104" s="499"/>
      <c r="G104" s="499"/>
      <c r="H104" s="499"/>
      <c r="I104" s="499"/>
      <c r="J104" s="499"/>
      <c r="K104" s="499"/>
      <c r="L104" s="499"/>
      <c r="M104" s="499"/>
      <c r="N104" s="505"/>
    </row>
    <row r="105" spans="3:16" ht="18" customHeight="1" thickTop="1" thickBot="1">
      <c r="C105" s="466"/>
      <c r="D105" s="63" t="s">
        <v>544</v>
      </c>
      <c r="E105" s="528">
        <f>E98</f>
        <v>50</v>
      </c>
      <c r="F105" s="529"/>
      <c r="G105" s="529"/>
      <c r="H105" s="529"/>
      <c r="I105" s="529"/>
      <c r="J105" s="529"/>
      <c r="K105" s="529"/>
      <c r="L105" s="529"/>
      <c r="M105" s="529"/>
      <c r="N105" s="530"/>
    </row>
    <row r="106" spans="3:16" ht="18" customHeight="1" thickTop="1" thickBot="1">
      <c r="C106" s="466"/>
      <c r="D106" s="63" t="s">
        <v>545</v>
      </c>
      <c r="E106" s="525">
        <v>6</v>
      </c>
      <c r="F106" s="525"/>
      <c r="G106" s="525"/>
      <c r="H106" s="525"/>
      <c r="I106" s="525"/>
      <c r="J106" s="525"/>
      <c r="K106" s="525"/>
      <c r="L106" s="525"/>
      <c r="M106" s="525"/>
      <c r="N106" s="526"/>
    </row>
    <row r="107" spans="3:16" ht="18" hidden="1" customHeight="1" thickTop="1" thickBot="1">
      <c r="C107" s="466"/>
      <c r="D107" s="83" t="s">
        <v>315</v>
      </c>
      <c r="E107" s="507"/>
      <c r="F107" s="508"/>
      <c r="G107" s="508"/>
      <c r="H107" s="508"/>
      <c r="I107" s="508"/>
      <c r="J107" s="508"/>
      <c r="K107" s="508"/>
      <c r="L107" s="508"/>
      <c r="M107" s="508"/>
      <c r="N107" s="509"/>
    </row>
    <row r="108" spans="3:16" ht="17.25" hidden="1" customHeight="1" thickTop="1" thickBot="1">
      <c r="C108" s="466"/>
      <c r="D108" s="69" t="s">
        <v>316</v>
      </c>
      <c r="E108" s="510"/>
      <c r="F108" s="510"/>
      <c r="G108" s="510"/>
      <c r="H108" s="510"/>
      <c r="I108" s="510"/>
      <c r="J108" s="510"/>
      <c r="K108" s="510"/>
      <c r="L108" s="510"/>
      <c r="M108" s="510"/>
      <c r="N108" s="511"/>
    </row>
    <row r="109" spans="3:16" ht="33" customHeight="1" thickTop="1" thickBot="1">
      <c r="C109" s="466">
        <v>5</v>
      </c>
      <c r="D109" s="467" t="s">
        <v>546</v>
      </c>
      <c r="E109" s="468"/>
      <c r="F109" s="468"/>
      <c r="G109" s="468"/>
      <c r="H109" s="468"/>
      <c r="I109" s="468"/>
      <c r="J109" s="468"/>
      <c r="K109" s="468"/>
      <c r="L109" s="468"/>
      <c r="M109" s="468"/>
      <c r="N109" s="469"/>
    </row>
    <row r="110" spans="3:16" ht="50.25" customHeight="1" thickTop="1" thickBot="1">
      <c r="C110" s="466"/>
      <c r="D110" s="84" t="s">
        <v>547</v>
      </c>
      <c r="E110" s="512" t="str">
        <f>E93</f>
        <v>Seeds-15%, Nitrogen-12%, Phosphorus - 5%, potassium - 8%, Coagulant -25%, and others - 5.6%</v>
      </c>
      <c r="F110" s="513"/>
      <c r="G110" s="513"/>
      <c r="H110" s="513"/>
      <c r="I110" s="513"/>
      <c r="J110" s="513"/>
      <c r="K110" s="513"/>
      <c r="L110" s="513"/>
      <c r="M110" s="513"/>
      <c r="N110" s="514"/>
    </row>
    <row r="111" spans="3:16" ht="16.5" customHeight="1" thickTop="1" thickBot="1">
      <c r="C111" s="466"/>
      <c r="D111" s="63" t="s">
        <v>548</v>
      </c>
      <c r="E111" s="515" t="s">
        <v>549</v>
      </c>
      <c r="F111" s="516"/>
      <c r="G111" s="516"/>
      <c r="H111" s="516"/>
      <c r="I111" s="516"/>
      <c r="J111" s="516"/>
      <c r="K111" s="516"/>
      <c r="L111" s="516"/>
      <c r="M111" s="516"/>
      <c r="N111" s="517"/>
    </row>
    <row r="112" spans="3:16" ht="19.5" customHeight="1" thickTop="1" thickBot="1">
      <c r="C112" s="466"/>
      <c r="D112" s="63" t="s">
        <v>550</v>
      </c>
      <c r="E112" s="515" t="s">
        <v>551</v>
      </c>
      <c r="F112" s="516"/>
      <c r="G112" s="516"/>
      <c r="H112" s="516"/>
      <c r="I112" s="516"/>
      <c r="J112" s="516"/>
      <c r="K112" s="516"/>
      <c r="L112" s="516"/>
      <c r="M112" s="516"/>
      <c r="N112" s="517"/>
      <c r="P112" s="85">
        <f>120/780</f>
        <v>0.15384615384615385</v>
      </c>
    </row>
    <row r="113" spans="3:16" ht="40.5" customHeight="1" thickTop="1" thickBot="1">
      <c r="C113" s="466"/>
      <c r="D113" s="63" t="s">
        <v>552</v>
      </c>
      <c r="E113" s="86" t="s">
        <v>553</v>
      </c>
      <c r="F113" s="86" t="s">
        <v>554</v>
      </c>
      <c r="G113" s="86" t="s">
        <v>555</v>
      </c>
      <c r="H113" s="87" t="s">
        <v>556</v>
      </c>
      <c r="I113" s="86"/>
      <c r="J113" s="88" t="s">
        <v>557</v>
      </c>
      <c r="K113" s="88" t="s">
        <v>558</v>
      </c>
      <c r="L113" s="88"/>
      <c r="M113" s="88"/>
      <c r="N113" s="89"/>
      <c r="P113" s="85">
        <f>90/780</f>
        <v>0.11538461538461539</v>
      </c>
    </row>
    <row r="114" spans="3:16" ht="30" hidden="1" outlineLevel="1" thickTop="1" thickBot="1">
      <c r="C114" s="466"/>
      <c r="D114" s="69" t="s">
        <v>330</v>
      </c>
      <c r="E114" s="90">
        <f>'[39]NPV-IRR-PI-DPP (2)'!E47</f>
        <v>0.49813520261186861</v>
      </c>
      <c r="F114" s="91">
        <f>'[39]База данных'!D618</f>
        <v>0.3840983291722681</v>
      </c>
      <c r="G114" s="91">
        <f>'[39]База данных'!D619</f>
        <v>0.28807374687920106</v>
      </c>
      <c r="H114" s="91">
        <f>'[39]База данных'!D620</f>
        <v>0.19204916458613405</v>
      </c>
      <c r="I114" s="92">
        <f>'[39]База данных'!D622</f>
        <v>89.325907432302671</v>
      </c>
      <c r="J114" s="88">
        <f>'[39]NPV-IRR-PI-DPP (2)'!E63</f>
        <v>1.3170731707317074</v>
      </c>
      <c r="K114" s="88">
        <f>'[39]NPV-IRR-PI-DPP (2)'!E64</f>
        <v>0.32408296523910118</v>
      </c>
      <c r="L114" s="88"/>
      <c r="M114" s="88"/>
      <c r="N114" s="89"/>
      <c r="P114" s="85">
        <f>40/780</f>
        <v>5.128205128205128E-2</v>
      </c>
    </row>
    <row r="115" spans="3:16" ht="31.5" collapsed="1" thickTop="1" thickBot="1">
      <c r="C115" s="466"/>
      <c r="D115" s="93" t="s">
        <v>559</v>
      </c>
      <c r="E115" s="515" t="s">
        <v>560</v>
      </c>
      <c r="F115" s="518"/>
      <c r="G115" s="94" t="s">
        <v>561</v>
      </c>
      <c r="H115" s="94" t="s">
        <v>562</v>
      </c>
      <c r="I115" s="94"/>
      <c r="J115" s="94" t="s">
        <v>563</v>
      </c>
      <c r="K115" s="94" t="s">
        <v>564</v>
      </c>
      <c r="L115" s="94"/>
      <c r="M115" s="94"/>
      <c r="N115" s="95" t="s">
        <v>564</v>
      </c>
      <c r="P115" s="85">
        <f>65/780</f>
        <v>8.3333333333333329E-2</v>
      </c>
    </row>
    <row r="116" spans="3:16" ht="16.5" thickTop="1" thickBot="1">
      <c r="C116" s="466"/>
      <c r="D116" s="63" t="s">
        <v>565</v>
      </c>
      <c r="E116" s="519">
        <f>'[39]База данных'!E40</f>
        <v>2886000</v>
      </c>
      <c r="F116" s="520"/>
      <c r="G116" s="68">
        <f>'[39]База данных'!G32</f>
        <v>52000324.5</v>
      </c>
      <c r="H116" s="68">
        <f>15*260</f>
        <v>3900</v>
      </c>
      <c r="I116" s="68"/>
      <c r="J116" s="61">
        <f>'[39]База данных'!AO421</f>
        <v>371293.76901408448</v>
      </c>
      <c r="K116" s="61" t="s">
        <v>566</v>
      </c>
      <c r="L116" s="61"/>
      <c r="M116" s="61"/>
      <c r="N116" s="62" t="s">
        <v>566</v>
      </c>
    </row>
    <row r="117" spans="3:16" ht="16.5" thickTop="1" thickBot="1">
      <c r="C117" s="466"/>
      <c r="D117" s="63" t="s">
        <v>567</v>
      </c>
      <c r="E117" s="96">
        <f>450/10414</f>
        <v>4.321106203188016E-2</v>
      </c>
      <c r="F117" s="96"/>
      <c r="G117" s="64">
        <f>1800/10414</f>
        <v>0.17284424812752064</v>
      </c>
      <c r="H117" s="64">
        <f>600/10414</f>
        <v>5.7614749375840213E-2</v>
      </c>
      <c r="I117" s="61"/>
      <c r="J117" s="97">
        <f>'[39]База данных'!AO423</f>
        <v>0.89302861532552336</v>
      </c>
      <c r="K117" s="61"/>
      <c r="L117" s="61"/>
      <c r="M117" s="61"/>
      <c r="N117" s="62"/>
    </row>
    <row r="118" spans="3:16" ht="19.5" hidden="1" outlineLevel="1" thickTop="1" thickBot="1">
      <c r="C118" s="466"/>
      <c r="D118" s="63" t="str">
        <f>[39]Input4!A339</f>
        <v>Гофроящики 40х40х80</v>
      </c>
      <c r="E118" s="431" t="s">
        <v>340</v>
      </c>
      <c r="F118" s="431"/>
      <c r="G118" s="431"/>
      <c r="H118" s="431"/>
      <c r="I118" s="431"/>
      <c r="J118" s="431"/>
      <c r="K118" s="431"/>
      <c r="L118" s="431"/>
      <c r="M118" s="431"/>
      <c r="N118" s="432"/>
    </row>
    <row r="119" spans="3:16" ht="21.75" hidden="1" outlineLevel="1" thickTop="1" thickBot="1">
      <c r="C119" s="466"/>
      <c r="D119" s="63" t="str">
        <f>[39]Input4!A340</f>
        <v>Целофан пакет</v>
      </c>
      <c r="E119" s="494" t="s">
        <v>341</v>
      </c>
      <c r="F119" s="494"/>
      <c r="G119" s="494"/>
      <c r="H119" s="494"/>
      <c r="I119" s="494"/>
      <c r="J119" s="494"/>
      <c r="K119" s="494"/>
      <c r="L119" s="494"/>
      <c r="M119" s="494"/>
      <c r="N119" s="495"/>
    </row>
    <row r="120" spans="3:16" ht="15.75" hidden="1" outlineLevel="1" thickTop="1" thickBot="1">
      <c r="C120" s="466"/>
      <c r="D120" s="69"/>
      <c r="E120" s="496"/>
      <c r="F120" s="496"/>
      <c r="G120" s="496"/>
      <c r="H120" s="496"/>
      <c r="I120" s="496"/>
      <c r="J120" s="496"/>
      <c r="K120" s="496"/>
      <c r="L120" s="496"/>
      <c r="M120" s="496"/>
      <c r="N120" s="497"/>
    </row>
    <row r="121" spans="3:16" ht="35.25" collapsed="1" thickTop="1" thickBot="1">
      <c r="C121" s="466">
        <v>6</v>
      </c>
      <c r="D121" s="467" t="s">
        <v>568</v>
      </c>
      <c r="E121" s="468"/>
      <c r="F121" s="468"/>
      <c r="G121" s="468"/>
      <c r="H121" s="468"/>
      <c r="I121" s="468"/>
      <c r="J121" s="468"/>
      <c r="K121" s="468"/>
      <c r="L121" s="468"/>
      <c r="M121" s="468"/>
      <c r="N121" s="469"/>
    </row>
    <row r="122" spans="3:16" ht="81.75" customHeight="1" thickTop="1" thickBot="1">
      <c r="C122" s="466"/>
      <c r="D122" s="42" t="s">
        <v>569</v>
      </c>
      <c r="E122" s="498" t="s">
        <v>570</v>
      </c>
      <c r="F122" s="500"/>
      <c r="G122" s="498" t="s">
        <v>571</v>
      </c>
      <c r="H122" s="499"/>
      <c r="I122" s="500"/>
      <c r="J122" s="501" t="s">
        <v>572</v>
      </c>
      <c r="K122" s="502"/>
      <c r="L122" s="503"/>
      <c r="M122" s="501"/>
      <c r="N122" s="504"/>
    </row>
    <row r="123" spans="3:16" ht="53.25" customHeight="1" thickTop="1" thickBot="1">
      <c r="C123" s="466"/>
      <c r="D123" s="43" t="s">
        <v>573</v>
      </c>
      <c r="E123" s="498" t="s">
        <v>175</v>
      </c>
      <c r="F123" s="499"/>
      <c r="G123" s="499"/>
      <c r="H123" s="499"/>
      <c r="I123" s="499"/>
      <c r="J123" s="499"/>
      <c r="K123" s="499"/>
      <c r="L123" s="499"/>
      <c r="M123" s="499"/>
      <c r="N123" s="505"/>
    </row>
    <row r="124" spans="3:16" ht="19.5" hidden="1" outlineLevel="1" thickTop="1" thickBot="1">
      <c r="C124" s="466"/>
      <c r="D124" s="506" t="s">
        <v>347</v>
      </c>
      <c r="E124" s="431"/>
      <c r="F124" s="431"/>
      <c r="G124" s="431"/>
      <c r="H124" s="431"/>
      <c r="I124" s="431"/>
      <c r="J124" s="431"/>
      <c r="K124" s="431"/>
      <c r="L124" s="431"/>
      <c r="M124" s="431"/>
      <c r="N124" s="432"/>
    </row>
    <row r="125" spans="3:16" ht="33.75" hidden="1" customHeight="1" outlineLevel="1" collapsed="1" thickTop="1" thickBot="1">
      <c r="C125" s="466"/>
      <c r="D125" s="63" t="s">
        <v>574</v>
      </c>
      <c r="E125" s="459" t="s">
        <v>175</v>
      </c>
      <c r="F125" s="459"/>
      <c r="G125" s="459"/>
      <c r="H125" s="459"/>
      <c r="I125" s="459"/>
      <c r="J125" s="459"/>
      <c r="K125" s="459"/>
      <c r="L125" s="459"/>
      <c r="M125" s="459"/>
      <c r="N125" s="460"/>
    </row>
    <row r="126" spans="3:16" ht="36.75" hidden="1" customHeight="1" outlineLevel="1" thickTop="1" thickBot="1">
      <c r="C126" s="466"/>
      <c r="D126" s="63" t="s">
        <v>575</v>
      </c>
      <c r="E126" s="459" t="s">
        <v>175</v>
      </c>
      <c r="F126" s="459"/>
      <c r="G126" s="459"/>
      <c r="H126" s="459"/>
      <c r="I126" s="459"/>
      <c r="J126" s="459"/>
      <c r="K126" s="459"/>
      <c r="L126" s="459"/>
      <c r="M126" s="459"/>
      <c r="N126" s="460"/>
    </row>
    <row r="127" spans="3:16" ht="22.5" hidden="1" customHeight="1" outlineLevel="1" thickTop="1" thickBot="1">
      <c r="C127" s="466"/>
      <c r="D127" s="63" t="s">
        <v>576</v>
      </c>
      <c r="E127" s="459" t="s">
        <v>175</v>
      </c>
      <c r="F127" s="459"/>
      <c r="G127" s="459"/>
      <c r="H127" s="459"/>
      <c r="I127" s="459"/>
      <c r="J127" s="459"/>
      <c r="K127" s="459"/>
      <c r="L127" s="459"/>
      <c r="M127" s="459"/>
      <c r="N127" s="460"/>
    </row>
    <row r="128" spans="3:16" ht="15" hidden="1" customHeight="1" outlineLevel="1" thickTop="1" thickBot="1">
      <c r="C128" s="466"/>
      <c r="D128" s="63" t="s">
        <v>351</v>
      </c>
      <c r="E128" s="459" t="s">
        <v>194</v>
      </c>
      <c r="F128" s="459"/>
      <c r="G128" s="459"/>
      <c r="H128" s="459"/>
      <c r="I128" s="459"/>
      <c r="J128" s="459"/>
      <c r="K128" s="459"/>
      <c r="L128" s="459"/>
      <c r="M128" s="459"/>
      <c r="N128" s="460"/>
    </row>
    <row r="129" spans="3:14" ht="16.5" hidden="1" outlineLevel="1" thickTop="1" thickBot="1">
      <c r="C129" s="466"/>
      <c r="D129" s="63" t="s">
        <v>352</v>
      </c>
      <c r="E129" s="459" t="s">
        <v>194</v>
      </c>
      <c r="F129" s="459"/>
      <c r="G129" s="459"/>
      <c r="H129" s="459"/>
      <c r="I129" s="459"/>
      <c r="J129" s="459"/>
      <c r="K129" s="459"/>
      <c r="L129" s="459"/>
      <c r="M129" s="459"/>
      <c r="N129" s="460"/>
    </row>
    <row r="130" spans="3:14" ht="16.5" hidden="1" outlineLevel="1" thickTop="1" thickBot="1">
      <c r="C130" s="466"/>
      <c r="D130" s="63" t="s">
        <v>352</v>
      </c>
      <c r="E130" s="459" t="s">
        <v>194</v>
      </c>
      <c r="F130" s="459"/>
      <c r="G130" s="459"/>
      <c r="H130" s="459"/>
      <c r="I130" s="459"/>
      <c r="J130" s="459"/>
      <c r="K130" s="459"/>
      <c r="L130" s="459"/>
      <c r="M130" s="459"/>
      <c r="N130" s="460"/>
    </row>
    <row r="131" spans="3:14" ht="16.5" collapsed="1" thickTop="1" thickBot="1">
      <c r="C131" s="466"/>
      <c r="D131" s="63" t="s">
        <v>577</v>
      </c>
      <c r="E131" s="459">
        <f>H122</f>
        <v>0</v>
      </c>
      <c r="F131" s="459"/>
      <c r="G131" s="459"/>
      <c r="H131" s="459"/>
      <c r="I131" s="459"/>
      <c r="J131" s="459"/>
      <c r="K131" s="459"/>
      <c r="L131" s="459"/>
      <c r="M131" s="459"/>
      <c r="N131" s="460"/>
    </row>
    <row r="132" spans="3:14" ht="16.5" thickTop="1" thickBot="1">
      <c r="C132" s="466"/>
      <c r="D132" s="63" t="s">
        <v>577</v>
      </c>
      <c r="E132" s="459" t="s">
        <v>175</v>
      </c>
      <c r="F132" s="459"/>
      <c r="G132" s="459"/>
      <c r="H132" s="459"/>
      <c r="I132" s="459"/>
      <c r="J132" s="459"/>
      <c r="K132" s="459"/>
      <c r="L132" s="459"/>
      <c r="M132" s="459"/>
      <c r="N132" s="460"/>
    </row>
    <row r="133" spans="3:14" ht="16.5" thickTop="1" thickBot="1">
      <c r="C133" s="466"/>
      <c r="D133" s="49" t="s">
        <v>578</v>
      </c>
      <c r="E133" s="459" t="s">
        <v>175</v>
      </c>
      <c r="F133" s="459"/>
      <c r="G133" s="459"/>
      <c r="H133" s="459"/>
      <c r="I133" s="459"/>
      <c r="J133" s="459"/>
      <c r="K133" s="459"/>
      <c r="L133" s="459"/>
      <c r="M133" s="459"/>
      <c r="N133" s="460"/>
    </row>
    <row r="134" spans="3:14" ht="16.5" hidden="1" outlineLevel="1" thickTop="1" thickBot="1">
      <c r="C134" s="466"/>
      <c r="D134" s="49" t="s">
        <v>354</v>
      </c>
      <c r="E134" s="459" t="e">
        <f>#REF!</f>
        <v>#REF!</v>
      </c>
      <c r="F134" s="459"/>
      <c r="G134" s="459"/>
      <c r="H134" s="459"/>
      <c r="I134" s="459"/>
      <c r="J134" s="459"/>
      <c r="K134" s="459"/>
      <c r="L134" s="459"/>
      <c r="M134" s="459"/>
      <c r="N134" s="460"/>
    </row>
    <row r="135" spans="3:14" ht="16.5" hidden="1" outlineLevel="1" thickTop="1" thickBot="1">
      <c r="C135" s="466"/>
      <c r="D135" s="49" t="s">
        <v>355</v>
      </c>
      <c r="E135" s="459" t="s">
        <v>194</v>
      </c>
      <c r="F135" s="459"/>
      <c r="G135" s="459"/>
      <c r="H135" s="459"/>
      <c r="I135" s="459"/>
      <c r="J135" s="459"/>
      <c r="K135" s="459"/>
      <c r="L135" s="459"/>
      <c r="M135" s="459"/>
      <c r="N135" s="460"/>
    </row>
    <row r="136" spans="3:14" ht="16.5" hidden="1" outlineLevel="1" thickTop="1" thickBot="1">
      <c r="C136" s="466"/>
      <c r="D136" s="49"/>
      <c r="E136" s="459" t="s">
        <v>194</v>
      </c>
      <c r="F136" s="459"/>
      <c r="G136" s="459"/>
      <c r="H136" s="459"/>
      <c r="I136" s="459"/>
      <c r="J136" s="459"/>
      <c r="K136" s="459"/>
      <c r="L136" s="459"/>
      <c r="M136" s="459"/>
      <c r="N136" s="460"/>
    </row>
    <row r="137" spans="3:14" ht="16.5" collapsed="1" thickTop="1" thickBot="1">
      <c r="C137" s="466"/>
      <c r="D137" s="49" t="s">
        <v>579</v>
      </c>
      <c r="E137" s="492">
        <f>SUM(E138:N139)</f>
        <v>0.25919999999999999</v>
      </c>
      <c r="F137" s="492"/>
      <c r="G137" s="492"/>
      <c r="H137" s="492"/>
      <c r="I137" s="492"/>
      <c r="J137" s="492"/>
      <c r="K137" s="492"/>
      <c r="L137" s="492"/>
      <c r="M137" s="492"/>
      <c r="N137" s="493"/>
    </row>
    <row r="138" spans="3:14" ht="16.5" thickTop="1" thickBot="1">
      <c r="C138" s="466"/>
      <c r="D138" s="99" t="s">
        <v>580</v>
      </c>
      <c r="E138" s="488">
        <f>24*72/10000</f>
        <v>0.17280000000000001</v>
      </c>
      <c r="F138" s="488"/>
      <c r="G138" s="488"/>
      <c r="H138" s="488"/>
      <c r="I138" s="488"/>
      <c r="J138" s="488"/>
      <c r="K138" s="488"/>
      <c r="L138" s="488"/>
      <c r="M138" s="488"/>
      <c r="N138" s="489"/>
    </row>
    <row r="139" spans="3:14" ht="16.5" thickTop="1" thickBot="1">
      <c r="C139" s="466"/>
      <c r="D139" s="99" t="s">
        <v>581</v>
      </c>
      <c r="E139" s="488">
        <f>E138/2</f>
        <v>8.6400000000000005E-2</v>
      </c>
      <c r="F139" s="488"/>
      <c r="G139" s="488"/>
      <c r="H139" s="488"/>
      <c r="I139" s="488"/>
      <c r="J139" s="488"/>
      <c r="K139" s="488"/>
      <c r="L139" s="488"/>
      <c r="M139" s="488"/>
      <c r="N139" s="489"/>
    </row>
    <row r="140" spans="3:14" ht="40.5" customHeight="1" thickTop="1" thickBot="1">
      <c r="C140" s="466"/>
      <c r="D140" s="99" t="s">
        <v>582</v>
      </c>
      <c r="E140" s="490">
        <f>(E39+I39+M39)/'[39]База данных'!J554</f>
        <v>1540.9577464788731</v>
      </c>
      <c r="F140" s="490"/>
      <c r="G140" s="490"/>
      <c r="H140" s="490"/>
      <c r="I140" s="490"/>
      <c r="J140" s="490"/>
      <c r="K140" s="490"/>
      <c r="L140" s="490"/>
      <c r="M140" s="490"/>
      <c r="N140" s="491"/>
    </row>
    <row r="141" spans="3:14" ht="15" hidden="1" customHeight="1" outlineLevel="1" thickTop="1" thickBot="1">
      <c r="C141" s="466"/>
      <c r="D141" s="99" t="s">
        <v>360</v>
      </c>
      <c r="E141" s="459" t="s">
        <v>361</v>
      </c>
      <c r="F141" s="459"/>
      <c r="G141" s="459"/>
      <c r="H141" s="459"/>
      <c r="I141" s="459"/>
      <c r="J141" s="459"/>
      <c r="K141" s="459"/>
      <c r="L141" s="459"/>
      <c r="M141" s="459"/>
      <c r="N141" s="460"/>
    </row>
    <row r="142" spans="3:14" ht="15" hidden="1" customHeight="1" outlineLevel="1" thickTop="1" thickBot="1">
      <c r="C142" s="466"/>
      <c r="D142" s="99" t="s">
        <v>362</v>
      </c>
      <c r="E142" s="459"/>
      <c r="F142" s="459"/>
      <c r="G142" s="459"/>
      <c r="H142" s="459"/>
      <c r="I142" s="459"/>
      <c r="J142" s="459"/>
      <c r="K142" s="459"/>
      <c r="L142" s="459"/>
      <c r="M142" s="459"/>
      <c r="N142" s="460"/>
    </row>
    <row r="143" spans="3:14" ht="15" hidden="1" customHeight="1" outlineLevel="1" thickTop="1" thickBot="1">
      <c r="C143" s="466"/>
      <c r="D143" s="100"/>
      <c r="E143" s="461"/>
      <c r="F143" s="461"/>
      <c r="G143" s="461"/>
      <c r="H143" s="461"/>
      <c r="I143" s="461"/>
      <c r="J143" s="461"/>
      <c r="K143" s="461"/>
      <c r="L143" s="461"/>
      <c r="M143" s="461"/>
      <c r="N143" s="462"/>
    </row>
    <row r="144" spans="3:14" ht="15" customHeight="1" collapsed="1" thickTop="1" thickBot="1">
      <c r="C144" s="466"/>
      <c r="D144" s="101" t="s">
        <v>583</v>
      </c>
      <c r="E144" s="483">
        <v>500</v>
      </c>
      <c r="F144" s="483"/>
      <c r="G144" s="483"/>
      <c r="H144" s="483"/>
      <c r="I144" s="483"/>
      <c r="J144" s="483"/>
      <c r="K144" s="483"/>
      <c r="L144" s="483"/>
      <c r="M144" s="483"/>
      <c r="N144" s="484"/>
    </row>
    <row r="145" spans="3:14" ht="33" customHeight="1" thickTop="1" thickBot="1">
      <c r="C145" s="466"/>
      <c r="D145" s="49" t="s">
        <v>584</v>
      </c>
      <c r="E145" s="485">
        <f>(E138+E139)*10000*E144</f>
        <v>1296000</v>
      </c>
      <c r="F145" s="485"/>
      <c r="G145" s="485"/>
      <c r="H145" s="485"/>
      <c r="I145" s="485"/>
      <c r="J145" s="485"/>
      <c r="K145" s="485"/>
      <c r="L145" s="485"/>
      <c r="M145" s="485"/>
      <c r="N145" s="474"/>
    </row>
    <row r="146" spans="3:14" ht="15" hidden="1" customHeight="1" outlineLevel="1" thickTop="1" thickBot="1">
      <c r="C146" s="466"/>
      <c r="D146" s="102"/>
      <c r="E146" s="486"/>
      <c r="F146" s="486"/>
      <c r="G146" s="486"/>
      <c r="H146" s="486"/>
      <c r="I146" s="486"/>
      <c r="J146" s="486"/>
      <c r="K146" s="486"/>
      <c r="L146" s="486"/>
      <c r="M146" s="486"/>
      <c r="N146" s="487"/>
    </row>
    <row r="147" spans="3:14" ht="15" hidden="1" customHeight="1" outlineLevel="1" thickTop="1" thickBot="1">
      <c r="C147" s="466"/>
      <c r="D147" s="103" t="s">
        <v>365</v>
      </c>
      <c r="E147" s="470">
        <f>SUM(E148:N160)</f>
        <v>0</v>
      </c>
      <c r="F147" s="470"/>
      <c r="G147" s="470"/>
      <c r="H147" s="470"/>
      <c r="I147" s="470"/>
      <c r="J147" s="470"/>
      <c r="K147" s="470"/>
      <c r="L147" s="470"/>
      <c r="M147" s="470"/>
      <c r="N147" s="471"/>
    </row>
    <row r="148" spans="3:14" ht="15" hidden="1" customHeight="1" outlineLevel="1" thickTop="1" thickBot="1">
      <c r="C148" s="466"/>
      <c r="D148" s="99" t="s">
        <v>366</v>
      </c>
      <c r="E148" s="476">
        <v>0</v>
      </c>
      <c r="F148" s="476"/>
      <c r="G148" s="476"/>
      <c r="H148" s="476"/>
      <c r="I148" s="476"/>
      <c r="J148" s="476"/>
      <c r="K148" s="476"/>
      <c r="L148" s="476"/>
      <c r="M148" s="476"/>
      <c r="N148" s="477"/>
    </row>
    <row r="149" spans="3:14" ht="15" hidden="1" customHeight="1" outlineLevel="1" thickTop="1" thickBot="1">
      <c r="C149" s="466"/>
      <c r="D149" s="99" t="s">
        <v>367</v>
      </c>
      <c r="E149" s="476">
        <v>0</v>
      </c>
      <c r="F149" s="476"/>
      <c r="G149" s="476"/>
      <c r="H149" s="476"/>
      <c r="I149" s="476"/>
      <c r="J149" s="476"/>
      <c r="K149" s="476"/>
      <c r="L149" s="476"/>
      <c r="M149" s="476"/>
      <c r="N149" s="477"/>
    </row>
    <row r="150" spans="3:14" ht="15" hidden="1" customHeight="1" outlineLevel="1" thickTop="1" thickBot="1">
      <c r="C150" s="466"/>
      <c r="D150" s="99" t="s">
        <v>368</v>
      </c>
      <c r="E150" s="476">
        <v>0</v>
      </c>
      <c r="F150" s="476"/>
      <c r="G150" s="476"/>
      <c r="H150" s="476"/>
      <c r="I150" s="476"/>
      <c r="J150" s="476"/>
      <c r="K150" s="476"/>
      <c r="L150" s="476"/>
      <c r="M150" s="476"/>
      <c r="N150" s="477"/>
    </row>
    <row r="151" spans="3:14" ht="15" hidden="1" customHeight="1" outlineLevel="1" thickTop="1" thickBot="1">
      <c r="C151" s="466"/>
      <c r="D151" s="99" t="s">
        <v>369</v>
      </c>
      <c r="E151" s="476">
        <v>0</v>
      </c>
      <c r="F151" s="476"/>
      <c r="G151" s="476"/>
      <c r="H151" s="476"/>
      <c r="I151" s="476"/>
      <c r="J151" s="476"/>
      <c r="K151" s="476"/>
      <c r="L151" s="476"/>
      <c r="M151" s="476"/>
      <c r="N151" s="477"/>
    </row>
    <row r="152" spans="3:14" ht="15" hidden="1" customHeight="1" outlineLevel="1" thickTop="1" thickBot="1">
      <c r="C152" s="466"/>
      <c r="D152" s="99" t="s">
        <v>370</v>
      </c>
      <c r="E152" s="476">
        <v>0</v>
      </c>
      <c r="F152" s="476"/>
      <c r="G152" s="476"/>
      <c r="H152" s="476"/>
      <c r="I152" s="476"/>
      <c r="J152" s="476"/>
      <c r="K152" s="476"/>
      <c r="L152" s="476"/>
      <c r="M152" s="476"/>
      <c r="N152" s="477"/>
    </row>
    <row r="153" spans="3:14" ht="15" hidden="1" customHeight="1" outlineLevel="1" thickTop="1" thickBot="1">
      <c r="C153" s="466"/>
      <c r="D153" s="99" t="s">
        <v>371</v>
      </c>
      <c r="E153" s="476">
        <v>0</v>
      </c>
      <c r="F153" s="476"/>
      <c r="G153" s="476"/>
      <c r="H153" s="476"/>
      <c r="I153" s="476"/>
      <c r="J153" s="476"/>
      <c r="K153" s="476"/>
      <c r="L153" s="476"/>
      <c r="M153" s="476"/>
      <c r="N153" s="477"/>
    </row>
    <row r="154" spans="3:14" ht="15" hidden="1" customHeight="1" outlineLevel="1" thickTop="1" thickBot="1">
      <c r="C154" s="466"/>
      <c r="D154" s="99" t="s">
        <v>372</v>
      </c>
      <c r="E154" s="476">
        <v>0</v>
      </c>
      <c r="F154" s="476"/>
      <c r="G154" s="476"/>
      <c r="H154" s="476"/>
      <c r="I154" s="476"/>
      <c r="J154" s="476"/>
      <c r="K154" s="476"/>
      <c r="L154" s="476"/>
      <c r="M154" s="476"/>
      <c r="N154" s="477"/>
    </row>
    <row r="155" spans="3:14" ht="15" hidden="1" customHeight="1" outlineLevel="1" thickTop="1" thickBot="1">
      <c r="C155" s="466"/>
      <c r="D155" s="99" t="s">
        <v>373</v>
      </c>
      <c r="E155" s="476">
        <v>0</v>
      </c>
      <c r="F155" s="476"/>
      <c r="G155" s="476"/>
      <c r="H155" s="476"/>
      <c r="I155" s="476"/>
      <c r="J155" s="476"/>
      <c r="K155" s="476"/>
      <c r="L155" s="476"/>
      <c r="M155" s="476"/>
      <c r="N155" s="477"/>
    </row>
    <row r="156" spans="3:14" ht="15" hidden="1" customHeight="1" outlineLevel="1" thickTop="1" thickBot="1">
      <c r="C156" s="466"/>
      <c r="D156" s="99" t="s">
        <v>374</v>
      </c>
      <c r="E156" s="476">
        <v>0</v>
      </c>
      <c r="F156" s="476"/>
      <c r="G156" s="476"/>
      <c r="H156" s="476"/>
      <c r="I156" s="476"/>
      <c r="J156" s="476"/>
      <c r="K156" s="476"/>
      <c r="L156" s="476"/>
      <c r="M156" s="476"/>
      <c r="N156" s="477"/>
    </row>
    <row r="157" spans="3:14" ht="15" hidden="1" customHeight="1" outlineLevel="1" thickTop="1" thickBot="1">
      <c r="C157" s="466"/>
      <c r="D157" s="99" t="s">
        <v>375</v>
      </c>
      <c r="E157" s="476">
        <v>0</v>
      </c>
      <c r="F157" s="476"/>
      <c r="G157" s="476"/>
      <c r="H157" s="476"/>
      <c r="I157" s="476"/>
      <c r="J157" s="476"/>
      <c r="K157" s="476"/>
      <c r="L157" s="476"/>
      <c r="M157" s="476"/>
      <c r="N157" s="477"/>
    </row>
    <row r="158" spans="3:14" ht="15" hidden="1" customHeight="1" outlineLevel="1" thickTop="1" thickBot="1">
      <c r="C158" s="466"/>
      <c r="D158" s="99" t="s">
        <v>376</v>
      </c>
      <c r="E158" s="476">
        <v>0</v>
      </c>
      <c r="F158" s="476"/>
      <c r="G158" s="476"/>
      <c r="H158" s="476"/>
      <c r="I158" s="476"/>
      <c r="J158" s="476"/>
      <c r="K158" s="476"/>
      <c r="L158" s="476"/>
      <c r="M158" s="476"/>
      <c r="N158" s="477"/>
    </row>
    <row r="159" spans="3:14" ht="15" hidden="1" customHeight="1" outlineLevel="1" thickTop="1" thickBot="1">
      <c r="C159" s="466"/>
      <c r="D159" s="99" t="s">
        <v>377</v>
      </c>
      <c r="E159" s="476">
        <v>0</v>
      </c>
      <c r="F159" s="476"/>
      <c r="G159" s="476"/>
      <c r="H159" s="476"/>
      <c r="I159" s="476"/>
      <c r="J159" s="476"/>
      <c r="K159" s="476"/>
      <c r="L159" s="476"/>
      <c r="M159" s="476"/>
      <c r="N159" s="477"/>
    </row>
    <row r="160" spans="3:14" ht="15" hidden="1" customHeight="1" outlineLevel="1" thickTop="1" thickBot="1">
      <c r="C160" s="466"/>
      <c r="D160" s="100" t="s">
        <v>378</v>
      </c>
      <c r="E160" s="478">
        <v>0</v>
      </c>
      <c r="F160" s="478"/>
      <c r="G160" s="478"/>
      <c r="H160" s="478"/>
      <c r="I160" s="478"/>
      <c r="J160" s="478"/>
      <c r="K160" s="478"/>
      <c r="L160" s="478"/>
      <c r="M160" s="478"/>
      <c r="N160" s="479"/>
    </row>
    <row r="161" spans="3:14" ht="27" hidden="1" customHeight="1" outlineLevel="1" thickTop="1" thickBot="1">
      <c r="C161" s="466"/>
      <c r="D161" s="104" t="s">
        <v>379</v>
      </c>
      <c r="E161" s="480">
        <f>E106-1</f>
        <v>5</v>
      </c>
      <c r="F161" s="481"/>
      <c r="G161" s="481"/>
      <c r="H161" s="481"/>
      <c r="I161" s="481"/>
      <c r="J161" s="481"/>
      <c r="K161" s="481"/>
      <c r="L161" s="481"/>
      <c r="M161" s="481"/>
      <c r="N161" s="482"/>
    </row>
    <row r="162" spans="3:14" ht="15" hidden="1" customHeight="1" outlineLevel="1" thickTop="1" thickBot="1">
      <c r="C162" s="466"/>
      <c r="D162" s="99" t="s">
        <v>380</v>
      </c>
      <c r="E162" s="459"/>
      <c r="F162" s="459"/>
      <c r="G162" s="459"/>
      <c r="H162" s="459"/>
      <c r="I162" s="459"/>
      <c r="J162" s="459"/>
      <c r="K162" s="459"/>
      <c r="L162" s="459"/>
      <c r="M162" s="459"/>
      <c r="N162" s="460"/>
    </row>
    <row r="163" spans="3:14" ht="15" hidden="1" customHeight="1" outlineLevel="1" thickTop="1" thickBot="1">
      <c r="C163" s="466"/>
      <c r="D163" s="100" t="s">
        <v>380</v>
      </c>
      <c r="E163" s="461"/>
      <c r="F163" s="461"/>
      <c r="G163" s="461"/>
      <c r="H163" s="461"/>
      <c r="I163" s="461"/>
      <c r="J163" s="461"/>
      <c r="K163" s="461"/>
      <c r="L163" s="461"/>
      <c r="M163" s="461"/>
      <c r="N163" s="462"/>
    </row>
    <row r="164" spans="3:14" ht="33.75" hidden="1" customHeight="1" outlineLevel="1" thickTop="1" thickBot="1">
      <c r="C164" s="466"/>
      <c r="D164" s="105" t="s">
        <v>381</v>
      </c>
      <c r="E164" s="463">
        <f>MAX(E145,E147)</f>
        <v>1296000</v>
      </c>
      <c r="F164" s="464"/>
      <c r="G164" s="464"/>
      <c r="H164" s="464"/>
      <c r="I164" s="464"/>
      <c r="J164" s="464"/>
      <c r="K164" s="464"/>
      <c r="L164" s="464"/>
      <c r="M164" s="464"/>
      <c r="N164" s="465"/>
    </row>
    <row r="165" spans="3:14" ht="35.25" collapsed="1" thickTop="1" thickBot="1">
      <c r="C165" s="466">
        <v>7</v>
      </c>
      <c r="D165" s="467" t="s">
        <v>585</v>
      </c>
      <c r="E165" s="468"/>
      <c r="F165" s="468"/>
      <c r="G165" s="468"/>
      <c r="H165" s="468"/>
      <c r="I165" s="468"/>
      <c r="J165" s="468"/>
      <c r="K165" s="468"/>
      <c r="L165" s="468"/>
      <c r="M165" s="468"/>
      <c r="N165" s="469"/>
    </row>
    <row r="166" spans="3:14" s="107" customFormat="1" ht="19.5" collapsed="1" thickTop="1" thickBot="1">
      <c r="C166" s="466"/>
      <c r="D166" s="106" t="s">
        <v>586</v>
      </c>
      <c r="E166" s="470">
        <f>'[39]Project Cost (2)'!F18</f>
        <v>7365322.7255111439</v>
      </c>
      <c r="F166" s="470"/>
      <c r="G166" s="470"/>
      <c r="H166" s="470"/>
      <c r="I166" s="470"/>
      <c r="J166" s="470"/>
      <c r="K166" s="470"/>
      <c r="L166" s="470"/>
      <c r="M166" s="470"/>
      <c r="N166" s="471"/>
    </row>
    <row r="167" spans="3:14" s="107" customFormat="1" ht="57.75" customHeight="1" thickTop="1" thickBot="1">
      <c r="C167" s="466"/>
      <c r="D167" s="108" t="s">
        <v>587</v>
      </c>
      <c r="E167" s="109" t="s">
        <v>588</v>
      </c>
      <c r="F167" s="109" t="s">
        <v>589</v>
      </c>
      <c r="G167" s="109" t="s">
        <v>590</v>
      </c>
      <c r="H167" s="109" t="s">
        <v>591</v>
      </c>
      <c r="I167" s="472"/>
      <c r="J167" s="472"/>
      <c r="K167" s="109" t="s">
        <v>592</v>
      </c>
      <c r="L167" s="109" t="s">
        <v>593</v>
      </c>
      <c r="M167" s="109" t="s">
        <v>594</v>
      </c>
      <c r="N167" s="474"/>
    </row>
    <row r="168" spans="3:14" s="107" customFormat="1" ht="18" customHeight="1" thickTop="1" thickBot="1">
      <c r="C168" s="466"/>
      <c r="D168" s="99" t="s">
        <v>595</v>
      </c>
      <c r="E168" s="68">
        <f>'[39]Project Cost (2)'!D8</f>
        <v>64800</v>
      </c>
      <c r="F168" s="68">
        <f>'[39]Project Cost (2)'!E8</f>
        <v>0</v>
      </c>
      <c r="G168" s="68">
        <f>'[39]Project Cost (2)'!F8</f>
        <v>64800</v>
      </c>
      <c r="H168" s="110">
        <f>G168/$G$178</f>
        <v>8.7979851548871495E-3</v>
      </c>
      <c r="I168" s="472"/>
      <c r="J168" s="472"/>
      <c r="K168" s="68">
        <f>'[39]Project Cost (2)'!J8+'[39]Project Cost (2)'!K8</f>
        <v>0</v>
      </c>
      <c r="L168" s="68">
        <f>'[39]Project Cost (2)'!L8</f>
        <v>64800</v>
      </c>
      <c r="M168" s="68">
        <f>'[39]Project Cost (2)'!M8</f>
        <v>0</v>
      </c>
      <c r="N168" s="474"/>
    </row>
    <row r="169" spans="3:14" s="107" customFormat="1" ht="30" customHeight="1" thickTop="1" thickBot="1">
      <c r="C169" s="466"/>
      <c r="D169" s="99" t="s">
        <v>596</v>
      </c>
      <c r="E169" s="68">
        <f>'[39]Project Cost (2)'!D9</f>
        <v>1296000</v>
      </c>
      <c r="F169" s="68">
        <f>'[39]Project Cost (2)'!E9</f>
        <v>0</v>
      </c>
      <c r="G169" s="68">
        <f>'[39]Project Cost (2)'!F9</f>
        <v>1296000</v>
      </c>
      <c r="H169" s="110">
        <f t="shared" ref="H169:H178" si="2">G169/$G$178</f>
        <v>0.17595970309774298</v>
      </c>
      <c r="I169" s="472"/>
      <c r="J169" s="472"/>
      <c r="K169" s="68">
        <f>'[39]Project Cost (2)'!J9+'[39]Project Cost (2)'!K9</f>
        <v>0</v>
      </c>
      <c r="L169" s="68">
        <f>'[39]Project Cost (2)'!L9</f>
        <v>1296000</v>
      </c>
      <c r="M169" s="68">
        <f>'[39]Project Cost (2)'!M9</f>
        <v>0</v>
      </c>
      <c r="N169" s="474"/>
    </row>
    <row r="170" spans="3:14" s="107" customFormat="1" ht="30" customHeight="1" thickTop="1" thickBot="1">
      <c r="C170" s="466"/>
      <c r="D170" s="99" t="s">
        <v>597</v>
      </c>
      <c r="E170" s="68">
        <f>'[39]Project Cost (2)'!D10</f>
        <v>0</v>
      </c>
      <c r="F170" s="68">
        <f>'[39]Project Cost (2)'!E10</f>
        <v>2838017.8926825034</v>
      </c>
      <c r="G170" s="68">
        <f>'[39]Project Cost (2)'!F10</f>
        <v>2838017.8926825034</v>
      </c>
      <c r="H170" s="110">
        <f t="shared" si="2"/>
        <v>0.38532159396797494</v>
      </c>
      <c r="I170" s="472"/>
      <c r="J170" s="472"/>
      <c r="K170" s="68">
        <f>'[39]Project Cost (2)'!J10+'[39]Project Cost (2)'!K10</f>
        <v>0</v>
      </c>
      <c r="L170" s="68">
        <f>'[39]Project Cost (2)'!L10</f>
        <v>0</v>
      </c>
      <c r="M170" s="68">
        <f>'[39]Project Cost (2)'!M10</f>
        <v>2838017.8926825034</v>
      </c>
      <c r="N170" s="474"/>
    </row>
    <row r="171" spans="3:14" s="107" customFormat="1" ht="18" customHeight="1" thickTop="1" thickBot="1">
      <c r="C171" s="466"/>
      <c r="D171" s="99" t="s">
        <v>598</v>
      </c>
      <c r="E171" s="68">
        <f>'[39]Project Cost (2)'!D11</f>
        <v>851405.36780475103</v>
      </c>
      <c r="F171" s="68">
        <f>'[39]Project Cost (2)'!E11</f>
        <v>0</v>
      </c>
      <c r="G171" s="68">
        <f>'[39]Project Cost (2)'!F11</f>
        <v>851405.36780475103</v>
      </c>
      <c r="H171" s="110">
        <f t="shared" si="2"/>
        <v>0.11559647819039248</v>
      </c>
      <c r="I171" s="472"/>
      <c r="J171" s="472"/>
      <c r="K171" s="68">
        <f>'[39]Project Cost (2)'!J11+'[39]Project Cost (2)'!K11</f>
        <v>0</v>
      </c>
      <c r="L171" s="68">
        <f>'[39]Project Cost (2)'!L11</f>
        <v>0</v>
      </c>
      <c r="M171" s="68">
        <f>'[39]Project Cost (2)'!M11</f>
        <v>851405.36780475103</v>
      </c>
      <c r="N171" s="474"/>
    </row>
    <row r="172" spans="3:14" s="107" customFormat="1" ht="30" customHeight="1" thickTop="1" thickBot="1">
      <c r="C172" s="466"/>
      <c r="D172" s="99" t="s">
        <v>599</v>
      </c>
      <c r="E172" s="68">
        <f>'[39]Project Cost (2)'!D12</f>
        <v>0</v>
      </c>
      <c r="F172" s="68">
        <f>'[39]Project Cost (2)'!E12</f>
        <v>198661.25248777526</v>
      </c>
      <c r="G172" s="68">
        <f>'[39]Project Cost (2)'!F12</f>
        <v>198661.25248777526</v>
      </c>
      <c r="H172" s="110">
        <f t="shared" si="2"/>
        <v>2.6972511577758249E-2</v>
      </c>
      <c r="I172" s="472"/>
      <c r="J172" s="472"/>
      <c r="K172" s="68">
        <f>'[39]Project Cost (2)'!J12+'[39]Project Cost (2)'!K12</f>
        <v>0</v>
      </c>
      <c r="L172" s="68">
        <f>'[39]Project Cost (2)'!L12</f>
        <v>0</v>
      </c>
      <c r="M172" s="68">
        <f>'[39]Project Cost (2)'!M12</f>
        <v>198661.25248777526</v>
      </c>
      <c r="N172" s="474"/>
    </row>
    <row r="173" spans="3:14" s="107" customFormat="1" ht="18" customHeight="1" thickTop="1" thickBot="1">
      <c r="C173" s="466"/>
      <c r="D173" s="99" t="s">
        <v>600</v>
      </c>
      <c r="E173" s="68">
        <f>'[39]Project Cost (2)'!D13</f>
        <v>214740.53678047509</v>
      </c>
      <c r="F173" s="68">
        <f>'[39]Project Cost (2)'!E13</f>
        <v>303667.91451702791</v>
      </c>
      <c r="G173" s="68">
        <f>'[39]Project Cost (2)'!F13</f>
        <v>518408.45129750296</v>
      </c>
      <c r="H173" s="110">
        <f t="shared" si="2"/>
        <v>7.0385028683386863E-2</v>
      </c>
      <c r="I173" s="472"/>
      <c r="J173" s="472"/>
      <c r="K173" s="68">
        <f>'[39]Project Cost (2)'!J13+'[39]Project Cost (2)'!K13</f>
        <v>0</v>
      </c>
      <c r="L173" s="68">
        <f>'[39]Project Cost (2)'!L13</f>
        <v>0</v>
      </c>
      <c r="M173" s="68">
        <f>'[39]Project Cost (2)'!M13</f>
        <v>518408.45129750296</v>
      </c>
      <c r="N173" s="474"/>
    </row>
    <row r="174" spans="3:14" s="107" customFormat="1" ht="18" customHeight="1" thickTop="1" thickBot="1">
      <c r="C174" s="466"/>
      <c r="D174" s="99" t="s">
        <v>601</v>
      </c>
      <c r="E174" s="68">
        <f>'[39]Project Cost (2)'!D14</f>
        <v>2426945.904585226</v>
      </c>
      <c r="F174" s="68">
        <f>'[39]Project Cost (2)'!E14</f>
        <v>3340347.0596873066</v>
      </c>
      <c r="G174" s="68">
        <f>'[39]Project Cost (2)'!F14</f>
        <v>5767292.9642725326</v>
      </c>
      <c r="H174" s="110">
        <f t="shared" si="2"/>
        <v>0.78303330067214261</v>
      </c>
      <c r="I174" s="472"/>
      <c r="J174" s="472"/>
      <c r="K174" s="68">
        <f>'[39]Project Cost (2)'!J14+'[39]Project Cost (2)'!K14</f>
        <v>0</v>
      </c>
      <c r="L174" s="68">
        <f>'[39]Project Cost (2)'!L14</f>
        <v>1360800</v>
      </c>
      <c r="M174" s="68">
        <f>'[39]Project Cost (2)'!M14</f>
        <v>4406492.9642725326</v>
      </c>
      <c r="N174" s="474"/>
    </row>
    <row r="175" spans="3:14" s="107" customFormat="1" ht="18" customHeight="1" thickTop="1" thickBot="1">
      <c r="C175" s="466"/>
      <c r="D175" s="99" t="s">
        <v>591</v>
      </c>
      <c r="E175" s="110">
        <f>'[39]Project Cost (2)'!D15</f>
        <v>0.42081196839137042</v>
      </c>
      <c r="F175" s="110">
        <f>'[39]Project Cost (2)'!E15</f>
        <v>0.57918803160862964</v>
      </c>
      <c r="G175" s="110">
        <f>'[39]Project Cost (2)'!F15</f>
        <v>1</v>
      </c>
      <c r="H175" s="110">
        <f t="shared" si="2"/>
        <v>1.3577137584702391E-7</v>
      </c>
      <c r="I175" s="472"/>
      <c r="J175" s="472"/>
      <c r="K175" s="68">
        <f>'[39]Project Cost (2)'!J15+'[39]Project Cost (2)'!K15</f>
        <v>0</v>
      </c>
      <c r="L175" s="68">
        <f>'[39]Project Cost (2)'!L15</f>
        <v>0.23595125276796944</v>
      </c>
      <c r="M175" s="68">
        <f>'[39]Project Cost (2)'!M15</f>
        <v>0.76404874723203053</v>
      </c>
      <c r="N175" s="474"/>
    </row>
    <row r="176" spans="3:14" s="107" customFormat="1" ht="30" customHeight="1" thickTop="1" thickBot="1">
      <c r="C176" s="466"/>
      <c r="D176" s="99" t="s">
        <v>602</v>
      </c>
      <c r="E176" s="68">
        <f>'[39]Project Cost (2)'!D16</f>
        <v>1021300.4648113579</v>
      </c>
      <c r="F176" s="68">
        <f>'[39]Project Cost (2)'!E16</f>
        <v>0</v>
      </c>
      <c r="G176" s="68">
        <f>'[39]Project Cost (2)'!F16</f>
        <v>1021300.4648113579</v>
      </c>
      <c r="H176" s="110">
        <f t="shared" si="2"/>
        <v>0.1386633692606431</v>
      </c>
      <c r="I176" s="472"/>
      <c r="J176" s="472"/>
      <c r="K176" s="68">
        <f>'[39]Project Cost (2)'!J16+'[39]Project Cost (2)'!K16</f>
        <v>0</v>
      </c>
      <c r="L176" s="68">
        <f>'[39]Project Cost (2)'!L16</f>
        <v>1021300.4648113579</v>
      </c>
      <c r="M176" s="68">
        <f>'[39]Project Cost (2)'!M16</f>
        <v>0</v>
      </c>
      <c r="N176" s="474"/>
    </row>
    <row r="177" spans="3:14" s="107" customFormat="1" ht="18" customHeight="1" thickTop="1" thickBot="1">
      <c r="C177" s="466"/>
      <c r="D177" s="99" t="s">
        <v>603</v>
      </c>
      <c r="E177" s="68">
        <f>'[39]Project Cost (2)'!D17</f>
        <v>242694.59045852261</v>
      </c>
      <c r="F177" s="68">
        <f>'[39]Project Cost (2)'!E17</f>
        <v>334034.70596873068</v>
      </c>
      <c r="G177" s="68">
        <f>'[39]Project Cost (2)'!F17</f>
        <v>576729.29642725328</v>
      </c>
      <c r="H177" s="110">
        <f t="shared" si="2"/>
        <v>7.8303330067214266E-2</v>
      </c>
      <c r="I177" s="472"/>
      <c r="J177" s="472"/>
      <c r="K177" s="68">
        <f>'[39]Project Cost (2)'!J17+'[39]Project Cost (2)'!K17</f>
        <v>0</v>
      </c>
      <c r="L177" s="68">
        <f>'[39]Project Cost (2)'!L17</f>
        <v>0</v>
      </c>
      <c r="M177" s="68">
        <f>'[39]Project Cost (2)'!M17</f>
        <v>576729.29642725328</v>
      </c>
      <c r="N177" s="474"/>
    </row>
    <row r="178" spans="3:14" s="107" customFormat="1" ht="18" customHeight="1" thickTop="1" thickBot="1">
      <c r="C178" s="466"/>
      <c r="D178" s="99" t="s">
        <v>604</v>
      </c>
      <c r="E178" s="68">
        <f>'[39]Project Cost (2)'!D18</f>
        <v>3690940.9598551067</v>
      </c>
      <c r="F178" s="68">
        <f>'[39]Project Cost (2)'!E18</f>
        <v>3674381.7656560373</v>
      </c>
      <c r="G178" s="68">
        <f>'[39]Project Cost (2)'!F18</f>
        <v>7365322.7255111439</v>
      </c>
      <c r="H178" s="110">
        <f t="shared" si="2"/>
        <v>1</v>
      </c>
      <c r="I178" s="472"/>
      <c r="J178" s="472"/>
      <c r="K178" s="68">
        <f>'[39]Project Cost (2)'!J18+'[39]Project Cost (2)'!K18</f>
        <v>0</v>
      </c>
      <c r="L178" s="68">
        <f>'[39]Project Cost (2)'!L18</f>
        <v>2382100.4648113577</v>
      </c>
      <c r="M178" s="68">
        <f>'[39]Project Cost (2)'!M18</f>
        <v>4983222.2606997862</v>
      </c>
      <c r="N178" s="474"/>
    </row>
    <row r="179" spans="3:14" s="107" customFormat="1" ht="18" customHeight="1" thickTop="1" thickBot="1">
      <c r="C179" s="466"/>
      <c r="D179" s="100" t="s">
        <v>591</v>
      </c>
      <c r="E179" s="111">
        <f>'[39]Project Cost (2)'!D19</f>
        <v>0.5011241322896629</v>
      </c>
      <c r="F179" s="111">
        <f>'[39]Project Cost (2)'!E19</f>
        <v>0.49887586771033715</v>
      </c>
      <c r="G179" s="111">
        <f>'[39]Project Cost (2)'!F19</f>
        <v>1</v>
      </c>
      <c r="H179" s="111">
        <f>'[39]Project Cost (2)'!G19</f>
        <v>0</v>
      </c>
      <c r="I179" s="473"/>
      <c r="J179" s="473"/>
      <c r="K179" s="111">
        <f>'[39]Project Cost (2)'!J19+'[39]Project Cost (2)'!K19</f>
        <v>0</v>
      </c>
      <c r="L179" s="111">
        <f>'[39]Project Cost (2)'!L19</f>
        <v>0.32342105751327316</v>
      </c>
      <c r="M179" s="111">
        <f>'[39]Project Cost (2)'!M19</f>
        <v>0.67657894248672679</v>
      </c>
      <c r="N179" s="475"/>
    </row>
    <row r="180" spans="3:14" s="107" customFormat="1" ht="19.5" thickTop="1" thickBot="1">
      <c r="C180" s="466"/>
      <c r="D180" s="103" t="s">
        <v>605</v>
      </c>
      <c r="E180" s="470">
        <f>'[39]Project Cost (2)'!L18+'[39]Project Cost (2)'!M18</f>
        <v>7365322.7255111439</v>
      </c>
      <c r="F180" s="470"/>
      <c r="G180" s="470"/>
      <c r="H180" s="470"/>
      <c r="I180" s="470"/>
      <c r="J180" s="470"/>
      <c r="K180" s="470"/>
      <c r="L180" s="470"/>
      <c r="M180" s="470"/>
      <c r="N180" s="471"/>
    </row>
    <row r="181" spans="3:14" s="107" customFormat="1" ht="19.5" thickTop="1" thickBot="1">
      <c r="C181" s="466"/>
      <c r="D181" s="99" t="s">
        <v>154</v>
      </c>
      <c r="E181" s="455">
        <f>'[39]Project Cost (2)'!L18</f>
        <v>2382100.4648113577</v>
      </c>
      <c r="F181" s="455"/>
      <c r="G181" s="455"/>
      <c r="H181" s="455"/>
      <c r="I181" s="455"/>
      <c r="J181" s="455"/>
      <c r="K181" s="455"/>
      <c r="L181" s="455"/>
      <c r="M181" s="455"/>
      <c r="N181" s="456"/>
    </row>
    <row r="182" spans="3:14" s="107" customFormat="1" ht="19.5" thickTop="1" thickBot="1">
      <c r="C182" s="466"/>
      <c r="D182" s="99" t="s">
        <v>157</v>
      </c>
      <c r="E182" s="455">
        <f>'[39]Project Cost (2)'!M18</f>
        <v>4983222.2606997862</v>
      </c>
      <c r="F182" s="455"/>
      <c r="G182" s="455"/>
      <c r="H182" s="455"/>
      <c r="I182" s="455"/>
      <c r="J182" s="455"/>
      <c r="K182" s="455"/>
      <c r="L182" s="455"/>
      <c r="M182" s="455"/>
      <c r="N182" s="456"/>
    </row>
    <row r="183" spans="3:14" s="107" customFormat="1" ht="19.5" thickTop="1" thickBot="1">
      <c r="C183" s="466"/>
      <c r="D183" s="112" t="s">
        <v>606</v>
      </c>
      <c r="E183" s="457">
        <f>'[39]Project Cost (2)'!J18+'[39]Project Cost (2)'!K18</f>
        <v>0</v>
      </c>
      <c r="F183" s="457"/>
      <c r="G183" s="457"/>
      <c r="H183" s="457"/>
      <c r="I183" s="457"/>
      <c r="J183" s="457"/>
      <c r="K183" s="457"/>
      <c r="L183" s="457"/>
      <c r="M183" s="457"/>
      <c r="N183" s="458"/>
    </row>
    <row r="184" spans="3:14" s="107" customFormat="1" ht="19.5" hidden="1" outlineLevel="1" thickTop="1" thickBot="1">
      <c r="C184" s="466"/>
      <c r="D184" s="104" t="s">
        <v>388</v>
      </c>
      <c r="E184" s="447" t="s">
        <v>389</v>
      </c>
      <c r="F184" s="449"/>
      <c r="G184" s="449"/>
      <c r="H184" s="449"/>
      <c r="I184" s="448"/>
      <c r="J184" s="447" t="s">
        <v>390</v>
      </c>
      <c r="K184" s="449"/>
      <c r="L184" s="449"/>
      <c r="M184" s="449"/>
      <c r="N184" s="450"/>
    </row>
    <row r="185" spans="3:14" s="107" customFormat="1" ht="19.5" hidden="1" outlineLevel="1" thickTop="1" thickBot="1">
      <c r="C185" s="466"/>
      <c r="D185" s="49" t="s">
        <v>391</v>
      </c>
      <c r="E185" s="445">
        <f>E183*0.5</f>
        <v>0</v>
      </c>
      <c r="F185" s="451"/>
      <c r="G185" s="451"/>
      <c r="H185" s="451"/>
      <c r="I185" s="446"/>
      <c r="J185" s="435">
        <f>E183*0.5</f>
        <v>0</v>
      </c>
      <c r="K185" s="437"/>
      <c r="L185" s="437"/>
      <c r="M185" s="437"/>
      <c r="N185" s="438"/>
    </row>
    <row r="186" spans="3:14" s="107" customFormat="1" ht="19.5" hidden="1" outlineLevel="1" thickTop="1" thickBot="1">
      <c r="C186" s="466"/>
      <c r="D186" s="49" t="s">
        <v>392</v>
      </c>
      <c r="E186" s="445">
        <f>E106</f>
        <v>6</v>
      </c>
      <c r="F186" s="451"/>
      <c r="G186" s="451"/>
      <c r="H186" s="451"/>
      <c r="I186" s="446"/>
      <c r="J186" s="445">
        <f>E106</f>
        <v>6</v>
      </c>
      <c r="K186" s="451"/>
      <c r="L186" s="451"/>
      <c r="M186" s="451"/>
      <c r="N186" s="452"/>
    </row>
    <row r="187" spans="3:14" s="107" customFormat="1" ht="19.5" hidden="1" outlineLevel="1" thickTop="1" thickBot="1">
      <c r="C187" s="466"/>
      <c r="D187" s="49" t="s">
        <v>393</v>
      </c>
      <c r="E187" s="445">
        <v>5</v>
      </c>
      <c r="F187" s="451"/>
      <c r="G187" s="451"/>
      <c r="H187" s="451"/>
      <c r="I187" s="446"/>
      <c r="J187" s="445">
        <v>5</v>
      </c>
      <c r="K187" s="451"/>
      <c r="L187" s="451"/>
      <c r="M187" s="451"/>
      <c r="N187" s="452"/>
    </row>
    <row r="188" spans="3:14" s="107" customFormat="1" ht="19.5" hidden="1" outlineLevel="1" thickTop="1" thickBot="1">
      <c r="C188" s="466"/>
      <c r="D188" s="49" t="s">
        <v>394</v>
      </c>
      <c r="E188" s="433">
        <v>7.0000000000000007E-2</v>
      </c>
      <c r="F188" s="453"/>
      <c r="G188" s="453"/>
      <c r="H188" s="453"/>
      <c r="I188" s="434"/>
      <c r="J188" s="433">
        <v>0.08</v>
      </c>
      <c r="K188" s="453"/>
      <c r="L188" s="453"/>
      <c r="M188" s="453"/>
      <c r="N188" s="454"/>
    </row>
    <row r="189" spans="3:14" s="107" customFormat="1" ht="19.5" hidden="1" outlineLevel="1" thickTop="1" thickBot="1">
      <c r="C189" s="466"/>
      <c r="D189" s="49" t="s">
        <v>395</v>
      </c>
      <c r="E189" s="435" t="s">
        <v>396</v>
      </c>
      <c r="F189" s="437"/>
      <c r="G189" s="437"/>
      <c r="H189" s="437"/>
      <c r="I189" s="437"/>
      <c r="J189" s="437"/>
      <c r="K189" s="437"/>
      <c r="L189" s="437"/>
      <c r="M189" s="437"/>
      <c r="N189" s="438"/>
    </row>
    <row r="190" spans="3:14" s="107" customFormat="1" ht="19.5" hidden="1" outlineLevel="1" thickTop="1" thickBot="1">
      <c r="C190" s="466"/>
      <c r="D190" s="113" t="s">
        <v>397</v>
      </c>
      <c r="E190" s="441"/>
      <c r="F190" s="443"/>
      <c r="G190" s="443"/>
      <c r="H190" s="443"/>
      <c r="I190" s="443"/>
      <c r="J190" s="443"/>
      <c r="K190" s="443"/>
      <c r="L190" s="443"/>
      <c r="M190" s="443"/>
      <c r="N190" s="444"/>
    </row>
    <row r="191" spans="3:14" s="107" customFormat="1" ht="19.5" hidden="1" outlineLevel="1" thickTop="1" thickBot="1">
      <c r="C191" s="466"/>
      <c r="D191" s="103" t="s">
        <v>398</v>
      </c>
      <c r="E191" s="447" t="s">
        <v>399</v>
      </c>
      <c r="F191" s="448"/>
      <c r="G191" s="447" t="s">
        <v>400</v>
      </c>
      <c r="H191" s="448"/>
      <c r="I191" s="447" t="s">
        <v>401</v>
      </c>
      <c r="J191" s="449"/>
      <c r="K191" s="449"/>
      <c r="L191" s="449"/>
      <c r="M191" s="449"/>
      <c r="N191" s="450"/>
    </row>
    <row r="192" spans="3:14" s="107" customFormat="1" ht="19.5" hidden="1" outlineLevel="1" thickTop="1" thickBot="1">
      <c r="C192" s="466"/>
      <c r="D192" s="49" t="s">
        <v>402</v>
      </c>
      <c r="E192" s="433">
        <v>0.15</v>
      </c>
      <c r="F192" s="434"/>
      <c r="G192" s="435" t="s">
        <v>338</v>
      </c>
      <c r="H192" s="436"/>
      <c r="I192" s="435">
        <v>338872000</v>
      </c>
      <c r="J192" s="437"/>
      <c r="K192" s="437"/>
      <c r="L192" s="437"/>
      <c r="M192" s="437"/>
      <c r="N192" s="438"/>
    </row>
    <row r="193" spans="3:18" s="107" customFormat="1" ht="19.5" hidden="1" outlineLevel="1" thickTop="1" thickBot="1">
      <c r="C193" s="466"/>
      <c r="D193" s="49" t="s">
        <v>403</v>
      </c>
      <c r="E193" s="433">
        <v>0.02</v>
      </c>
      <c r="F193" s="434"/>
      <c r="G193" s="435" t="s">
        <v>338</v>
      </c>
      <c r="H193" s="436"/>
      <c r="I193" s="435" t="s">
        <v>404</v>
      </c>
      <c r="J193" s="437"/>
      <c r="K193" s="437"/>
      <c r="L193" s="437"/>
      <c r="M193" s="437"/>
      <c r="N193" s="438"/>
    </row>
    <row r="194" spans="3:18" s="107" customFormat="1" ht="19.5" hidden="1" outlineLevel="1" thickTop="1" thickBot="1">
      <c r="C194" s="466"/>
      <c r="D194" s="49" t="s">
        <v>405</v>
      </c>
      <c r="E194" s="435">
        <v>20000000</v>
      </c>
      <c r="F194" s="436"/>
      <c r="G194" s="435" t="s">
        <v>338</v>
      </c>
      <c r="H194" s="436"/>
      <c r="I194" s="435" t="s">
        <v>406</v>
      </c>
      <c r="J194" s="437"/>
      <c r="K194" s="437"/>
      <c r="L194" s="437"/>
      <c r="M194" s="437"/>
      <c r="N194" s="438"/>
    </row>
    <row r="195" spans="3:18" s="107" customFormat="1" ht="19.5" hidden="1" outlineLevel="1" thickTop="1" thickBot="1">
      <c r="C195" s="466"/>
      <c r="D195" s="49"/>
      <c r="E195" s="445"/>
      <c r="F195" s="446"/>
      <c r="G195" s="435" t="s">
        <v>338</v>
      </c>
      <c r="H195" s="436"/>
      <c r="I195" s="435"/>
      <c r="J195" s="437"/>
      <c r="K195" s="437"/>
      <c r="L195" s="437"/>
      <c r="M195" s="437"/>
      <c r="N195" s="438"/>
    </row>
    <row r="196" spans="3:18" s="107" customFormat="1" ht="19.5" hidden="1" outlineLevel="1" thickTop="1" thickBot="1">
      <c r="C196" s="466"/>
      <c r="D196" s="49" t="s">
        <v>407</v>
      </c>
      <c r="E196" s="433">
        <v>0</v>
      </c>
      <c r="F196" s="434"/>
      <c r="G196" s="435" t="s">
        <v>338</v>
      </c>
      <c r="H196" s="436"/>
      <c r="I196" s="435" t="s">
        <v>408</v>
      </c>
      <c r="J196" s="437"/>
      <c r="K196" s="437"/>
      <c r="L196" s="437"/>
      <c r="M196" s="437"/>
      <c r="N196" s="438"/>
    </row>
    <row r="197" spans="3:18" s="107" customFormat="1" ht="19.5" hidden="1" outlineLevel="1" thickTop="1" thickBot="1">
      <c r="C197" s="466"/>
      <c r="D197" s="49"/>
      <c r="E197" s="433"/>
      <c r="F197" s="434"/>
      <c r="G197" s="435" t="s">
        <v>338</v>
      </c>
      <c r="H197" s="436"/>
      <c r="I197" s="435"/>
      <c r="J197" s="437"/>
      <c r="K197" s="437"/>
      <c r="L197" s="437"/>
      <c r="M197" s="437"/>
      <c r="N197" s="438"/>
    </row>
    <row r="198" spans="3:18" s="107" customFormat="1" ht="19.5" hidden="1" outlineLevel="1" thickTop="1" thickBot="1">
      <c r="C198" s="466"/>
      <c r="D198" s="49" t="s">
        <v>409</v>
      </c>
      <c r="E198" s="433">
        <v>0.15</v>
      </c>
      <c r="F198" s="434"/>
      <c r="G198" s="435" t="s">
        <v>338</v>
      </c>
      <c r="H198" s="436"/>
      <c r="I198" s="435" t="s">
        <v>410</v>
      </c>
      <c r="J198" s="437"/>
      <c r="K198" s="437"/>
      <c r="L198" s="437"/>
      <c r="M198" s="437"/>
      <c r="N198" s="438"/>
    </row>
    <row r="199" spans="3:18" s="107" customFormat="1" ht="19.5" hidden="1" outlineLevel="1" thickTop="1" thickBot="1">
      <c r="C199" s="466"/>
      <c r="D199" s="49" t="s">
        <v>411</v>
      </c>
      <c r="E199" s="433">
        <v>0</v>
      </c>
      <c r="F199" s="434"/>
      <c r="G199" s="435" t="s">
        <v>338</v>
      </c>
      <c r="H199" s="436"/>
      <c r="I199" s="435" t="s">
        <v>408</v>
      </c>
      <c r="J199" s="437"/>
      <c r="K199" s="437"/>
      <c r="L199" s="437"/>
      <c r="M199" s="437"/>
      <c r="N199" s="438"/>
    </row>
    <row r="200" spans="3:18" s="107" customFormat="1" ht="19.5" hidden="1" outlineLevel="1" thickTop="1" thickBot="1">
      <c r="C200" s="466"/>
      <c r="D200" s="112" t="s">
        <v>412</v>
      </c>
      <c r="E200" s="439">
        <v>0.01</v>
      </c>
      <c r="F200" s="440"/>
      <c r="G200" s="441" t="s">
        <v>338</v>
      </c>
      <c r="H200" s="442"/>
      <c r="I200" s="441" t="s">
        <v>408</v>
      </c>
      <c r="J200" s="443"/>
      <c r="K200" s="443"/>
      <c r="L200" s="443"/>
      <c r="M200" s="443"/>
      <c r="N200" s="444"/>
    </row>
    <row r="201" spans="3:18" s="107" customFormat="1" ht="27" customHeight="1" collapsed="1" thickTop="1" thickBot="1">
      <c r="C201" s="466"/>
      <c r="D201" s="104" t="s">
        <v>607</v>
      </c>
      <c r="E201" s="424"/>
      <c r="F201" s="424"/>
      <c r="G201" s="424"/>
      <c r="H201" s="424"/>
      <c r="I201" s="424"/>
      <c r="J201" s="424"/>
      <c r="K201" s="424"/>
      <c r="L201" s="424"/>
      <c r="M201" s="424"/>
      <c r="N201" s="425"/>
    </row>
    <row r="202" spans="3:18" s="107" customFormat="1" ht="19.5" thickTop="1" thickBot="1">
      <c r="C202" s="466"/>
      <c r="D202" s="99" t="s">
        <v>608</v>
      </c>
      <c r="E202" s="74" t="s">
        <v>609</v>
      </c>
      <c r="F202" s="74" t="s">
        <v>610</v>
      </c>
      <c r="G202" s="74" t="s">
        <v>611</v>
      </c>
      <c r="H202" s="74" t="s">
        <v>612</v>
      </c>
      <c r="I202" s="74" t="s">
        <v>613</v>
      </c>
      <c r="J202" s="74" t="s">
        <v>614</v>
      </c>
      <c r="K202" s="74" t="s">
        <v>615</v>
      </c>
      <c r="L202" s="74" t="s">
        <v>616</v>
      </c>
      <c r="M202" s="74" t="s">
        <v>617</v>
      </c>
      <c r="N202" s="114" t="s">
        <v>618</v>
      </c>
    </row>
    <row r="203" spans="3:18" s="107" customFormat="1" ht="16.5" thickTop="1" thickBot="1">
      <c r="C203" s="466"/>
      <c r="D203" s="99" t="s">
        <v>619</v>
      </c>
      <c r="E203" s="115">
        <f>'[39]NPV-IRR-PI-DPP (2)'!E11</f>
        <v>0</v>
      </c>
      <c r="F203" s="115">
        <f>'[39]NPV-IRR-PI-DPP (2)'!E12</f>
        <v>10567952.729786824</v>
      </c>
      <c r="G203" s="115">
        <f>'[39]NPV-IRR-PI-DPP (2)'!E13</f>
        <v>12681543.275744189</v>
      </c>
      <c r="H203" s="115">
        <f>'[39]NPV-IRR-PI-DPP (2)'!E14</f>
        <v>14795133.821701553</v>
      </c>
      <c r="I203" s="115">
        <f>'[39]NPV-IRR-PI-DPP (2)'!E15</f>
        <v>16908724.367658917</v>
      </c>
      <c r="J203" s="115">
        <f>'[39]NPV-IRR-PI-DPP (2)'!E16</f>
        <v>19022314.913616281</v>
      </c>
      <c r="K203" s="115">
        <f>'[39]NPV-IRR-PI-DPP (2)'!E17</f>
        <v>21135905.459573645</v>
      </c>
      <c r="L203" s="115">
        <f>'[39]NPV-IRR-PI-DPP (2)'!E18</f>
        <v>21135905.459573645</v>
      </c>
      <c r="M203" s="115">
        <f>'[39]NPV-IRR-PI-DPP (2)'!E19</f>
        <v>21135905.459573645</v>
      </c>
      <c r="N203" s="116">
        <f>'[39]NPV-IRR-PI-DPP (2)'!E20</f>
        <v>21135905.459573645</v>
      </c>
    </row>
    <row r="204" spans="3:18" s="107" customFormat="1" ht="16.5" thickTop="1" thickBot="1">
      <c r="C204" s="466"/>
      <c r="D204" s="99" t="s">
        <v>620</v>
      </c>
      <c r="E204" s="115">
        <f>'[39]NPV-IRR-PI-DPP (2)'!B11</f>
        <v>7365322.7255111439</v>
      </c>
      <c r="F204" s="115">
        <f>F203-F205</f>
        <v>8832373.27574417</v>
      </c>
      <c r="G204" s="115">
        <f t="shared" ref="G204:N204" si="3">G203-G205</f>
        <v>10598847.930893002</v>
      </c>
      <c r="H204" s="115">
        <f t="shared" si="3"/>
        <v>12365322.586041836</v>
      </c>
      <c r="I204" s="115">
        <f t="shared" si="3"/>
        <v>14131797.24119067</v>
      </c>
      <c r="J204" s="115">
        <f t="shared" si="3"/>
        <v>15898271.896339502</v>
      </c>
      <c r="K204" s="115">
        <f t="shared" si="3"/>
        <v>17664746.551488336</v>
      </c>
      <c r="L204" s="115">
        <f t="shared" si="3"/>
        <v>17664746.551488336</v>
      </c>
      <c r="M204" s="115">
        <f t="shared" si="3"/>
        <v>17664746.551488336</v>
      </c>
      <c r="N204" s="116">
        <f t="shared" si="3"/>
        <v>17664746.551488336</v>
      </c>
    </row>
    <row r="205" spans="3:18" s="107" customFormat="1" ht="16.5" thickTop="1" thickBot="1">
      <c r="C205" s="466"/>
      <c r="D205" s="99" t="s">
        <v>621</v>
      </c>
      <c r="E205" s="115">
        <f>E203-E204</f>
        <v>-7365322.7255111439</v>
      </c>
      <c r="F205" s="115">
        <f>'[39]NPV-IRR-PI-DPP (2)'!H12</f>
        <v>1735579.454042655</v>
      </c>
      <c r="G205" s="115">
        <f>'[39]NPV-IRR-PI-DPP (2)'!H13</f>
        <v>2082695.3448511858</v>
      </c>
      <c r="H205" s="115">
        <f>'[39]NPV-IRR-PI-DPP (2)'!H14</f>
        <v>2429811.2356597167</v>
      </c>
      <c r="I205" s="115">
        <f>'[39]NPV-IRR-PI-DPP (2)'!H15</f>
        <v>2776927.1264682473</v>
      </c>
      <c r="J205" s="115">
        <f>'[39]NPV-IRR-PI-DPP (2)'!H16</f>
        <v>3124043.0172767784</v>
      </c>
      <c r="K205" s="115">
        <f>'[39]NPV-IRR-PI-DPP (2)'!H17</f>
        <v>3471158.908085309</v>
      </c>
      <c r="L205" s="115">
        <f>'[39]NPV-IRR-PI-DPP (2)'!H18</f>
        <v>3471158.908085309</v>
      </c>
      <c r="M205" s="115">
        <f>'[39]NPV-IRR-PI-DPP (2)'!H19</f>
        <v>3471158.908085309</v>
      </c>
      <c r="N205" s="116">
        <f>'[39]NPV-IRR-PI-DPP (2)'!H20</f>
        <v>3471158.908085309</v>
      </c>
    </row>
    <row r="206" spans="3:18" ht="19.5" thickTop="1" thickBot="1">
      <c r="C206" s="466"/>
      <c r="D206" s="108" t="s">
        <v>453</v>
      </c>
      <c r="E206" s="426">
        <f>'[39]NPV-IRR-PI-DPP (2)'!P31</f>
        <v>46.719602563436339</v>
      </c>
      <c r="F206" s="426"/>
      <c r="G206" s="426"/>
      <c r="H206" s="426"/>
      <c r="I206" s="426"/>
      <c r="J206" s="426"/>
      <c r="K206" s="426"/>
      <c r="L206" s="426"/>
      <c r="M206" s="426"/>
      <c r="N206" s="427"/>
    </row>
    <row r="207" spans="3:18" ht="19.5" thickTop="1" thickBot="1">
      <c r="C207" s="466"/>
      <c r="D207" s="108" t="s">
        <v>145</v>
      </c>
      <c r="E207" s="428">
        <f>'[39]NPV-IRR-PI-DPP (2)'!N20</f>
        <v>0.30652290845359387</v>
      </c>
      <c r="F207" s="428"/>
      <c r="G207" s="428"/>
      <c r="H207" s="428"/>
      <c r="I207" s="428"/>
      <c r="J207" s="428"/>
      <c r="K207" s="428"/>
      <c r="L207" s="428"/>
      <c r="M207" s="428"/>
      <c r="N207" s="429"/>
      <c r="R207" s="117" t="s">
        <v>429</v>
      </c>
    </row>
    <row r="208" spans="3:18" ht="19.5" thickTop="1" thickBot="1">
      <c r="C208" s="466"/>
      <c r="D208" s="108" t="s">
        <v>622</v>
      </c>
      <c r="E208" s="414">
        <f>'[39]NPV-IRR-PI-DPP (2)'!M20</f>
        <v>13160447.434307046</v>
      </c>
      <c r="F208" s="414"/>
      <c r="G208" s="414"/>
      <c r="H208" s="414"/>
      <c r="I208" s="414"/>
      <c r="J208" s="414"/>
      <c r="K208" s="414"/>
      <c r="L208" s="414"/>
      <c r="M208" s="414"/>
      <c r="N208" s="415"/>
    </row>
    <row r="209" spans="3:18" ht="19.5" thickTop="1" thickBot="1">
      <c r="C209" s="466"/>
      <c r="D209" s="108" t="s">
        <v>623</v>
      </c>
      <c r="E209" s="430">
        <f>'[39]NPV-IRR-PI-DPP (2)'!O20</f>
        <v>2.7483505164567648</v>
      </c>
      <c r="F209" s="430"/>
      <c r="G209" s="431"/>
      <c r="H209" s="431"/>
      <c r="I209" s="431"/>
      <c r="J209" s="431"/>
      <c r="K209" s="431"/>
      <c r="L209" s="431"/>
      <c r="M209" s="431"/>
      <c r="N209" s="432"/>
    </row>
    <row r="210" spans="3:18" ht="18.75" customHeight="1" thickTop="1" thickBot="1">
      <c r="C210" s="466"/>
      <c r="D210" s="108" t="s">
        <v>624</v>
      </c>
      <c r="E210" s="426">
        <f>'[39]NPV-IRR-PI-DPP (2)'!D96+'[39]NPV-IRR-PI-DPP (2)'!D106</f>
        <v>231</v>
      </c>
      <c r="F210" s="426"/>
      <c r="G210" s="431"/>
      <c r="H210" s="431"/>
      <c r="I210" s="431"/>
      <c r="J210" s="431"/>
      <c r="K210" s="431"/>
      <c r="L210" s="431"/>
      <c r="M210" s="431"/>
      <c r="N210" s="432"/>
    </row>
    <row r="211" spans="3:18" ht="18" customHeight="1" thickTop="1" thickBot="1">
      <c r="C211" s="466"/>
      <c r="D211" s="108" t="s">
        <v>625</v>
      </c>
      <c r="E211" s="414">
        <f>E210/(E166/1000000)</f>
        <v>31.363187820662525</v>
      </c>
      <c r="F211" s="414"/>
      <c r="G211" s="414"/>
      <c r="H211" s="414"/>
      <c r="I211" s="414"/>
      <c r="J211" s="414"/>
      <c r="K211" s="414"/>
      <c r="L211" s="414"/>
      <c r="M211" s="414"/>
      <c r="N211" s="415"/>
      <c r="R211" s="117" t="s">
        <v>432</v>
      </c>
    </row>
    <row r="212" spans="3:18" ht="45" customHeight="1" thickTop="1" thickBot="1">
      <c r="C212" s="466"/>
      <c r="D212" s="118" t="s">
        <v>626</v>
      </c>
      <c r="E212" s="416" t="str">
        <f>E58</f>
        <v>For a conservative approach, all taxes are included in the calculations</v>
      </c>
      <c r="F212" s="416"/>
      <c r="G212" s="416"/>
      <c r="H212" s="416"/>
      <c r="I212" s="416"/>
      <c r="J212" s="416"/>
      <c r="K212" s="416"/>
      <c r="L212" s="416"/>
      <c r="M212" s="416"/>
      <c r="N212" s="417"/>
    </row>
    <row r="213" spans="3:18" s="107" customFormat="1" ht="35.25" customHeight="1" collapsed="1" thickTop="1">
      <c r="C213" s="418">
        <v>8</v>
      </c>
      <c r="D213" s="421" t="s">
        <v>627</v>
      </c>
      <c r="E213" s="422"/>
      <c r="F213" s="422"/>
      <c r="G213" s="422"/>
      <c r="H213" s="422"/>
      <c r="I213" s="422"/>
      <c r="J213" s="422"/>
      <c r="K213" s="422"/>
      <c r="L213" s="422"/>
      <c r="M213" s="422"/>
      <c r="N213" s="423"/>
    </row>
    <row r="214" spans="3:18" s="107" customFormat="1" ht="78.75" customHeight="1">
      <c r="C214" s="419"/>
      <c r="D214" s="119" t="s">
        <v>628</v>
      </c>
      <c r="E214" s="405" t="s">
        <v>629</v>
      </c>
      <c r="F214" s="405"/>
      <c r="G214" s="405"/>
      <c r="H214" s="405"/>
      <c r="I214" s="405"/>
      <c r="J214" s="405"/>
      <c r="K214" s="405"/>
      <c r="L214" s="405"/>
      <c r="M214" s="405"/>
      <c r="N214" s="406"/>
    </row>
    <row r="215" spans="3:18" s="107" customFormat="1" ht="40.5" customHeight="1">
      <c r="C215" s="419"/>
      <c r="D215" s="119" t="s">
        <v>630</v>
      </c>
      <c r="E215" s="405" t="s">
        <v>631</v>
      </c>
      <c r="F215" s="405"/>
      <c r="G215" s="405"/>
      <c r="H215" s="405"/>
      <c r="I215" s="405"/>
      <c r="J215" s="405"/>
      <c r="K215" s="405"/>
      <c r="L215" s="405"/>
      <c r="M215" s="405"/>
      <c r="N215" s="406"/>
    </row>
    <row r="216" spans="3:18" s="107" customFormat="1" ht="42" customHeight="1">
      <c r="C216" s="419"/>
      <c r="D216" s="119" t="s">
        <v>128</v>
      </c>
      <c r="E216" s="405" t="s">
        <v>632</v>
      </c>
      <c r="F216" s="405"/>
      <c r="G216" s="405"/>
      <c r="H216" s="405"/>
      <c r="I216" s="405"/>
      <c r="J216" s="405"/>
      <c r="K216" s="405"/>
      <c r="L216" s="405"/>
      <c r="M216" s="405"/>
      <c r="N216" s="406"/>
    </row>
    <row r="217" spans="3:18" s="107" customFormat="1" ht="47.25" customHeight="1">
      <c r="C217" s="419"/>
      <c r="D217" s="119" t="s">
        <v>633</v>
      </c>
      <c r="E217" s="405" t="s">
        <v>634</v>
      </c>
      <c r="F217" s="405"/>
      <c r="G217" s="405"/>
      <c r="H217" s="405"/>
      <c r="I217" s="405"/>
      <c r="J217" s="405"/>
      <c r="K217" s="405"/>
      <c r="L217" s="405"/>
      <c r="M217" s="405"/>
      <c r="N217" s="406"/>
    </row>
    <row r="218" spans="3:18" s="107" customFormat="1" ht="48.75" customHeight="1">
      <c r="C218" s="419"/>
      <c r="D218" s="119" t="s">
        <v>635</v>
      </c>
      <c r="E218" s="405" t="s">
        <v>636</v>
      </c>
      <c r="F218" s="405"/>
      <c r="G218" s="405"/>
      <c r="H218" s="405"/>
      <c r="I218" s="405"/>
      <c r="J218" s="405"/>
      <c r="K218" s="405"/>
      <c r="L218" s="405"/>
      <c r="M218" s="405"/>
      <c r="N218" s="406"/>
    </row>
    <row r="219" spans="3:18" s="107" customFormat="1" ht="39.75" customHeight="1">
      <c r="C219" s="419"/>
      <c r="D219" s="119"/>
      <c r="E219" s="405" t="s">
        <v>637</v>
      </c>
      <c r="F219" s="405"/>
      <c r="G219" s="405"/>
      <c r="H219" s="405"/>
      <c r="I219" s="405"/>
      <c r="J219" s="405"/>
      <c r="K219" s="405"/>
      <c r="L219" s="405"/>
      <c r="M219" s="405"/>
      <c r="N219" s="406"/>
    </row>
    <row r="220" spans="3:18" s="107" customFormat="1" ht="69.75" customHeight="1">
      <c r="C220" s="419"/>
      <c r="D220" s="119"/>
      <c r="E220" s="405" t="s">
        <v>638</v>
      </c>
      <c r="F220" s="405"/>
      <c r="G220" s="405"/>
      <c r="H220" s="405"/>
      <c r="I220" s="405"/>
      <c r="J220" s="405"/>
      <c r="K220" s="405"/>
      <c r="L220" s="405"/>
      <c r="M220" s="405"/>
      <c r="N220" s="406"/>
    </row>
    <row r="221" spans="3:18" ht="43.5" customHeight="1">
      <c r="C221" s="419"/>
      <c r="D221" s="120"/>
      <c r="E221" s="405" t="s">
        <v>639</v>
      </c>
      <c r="F221" s="405"/>
      <c r="G221" s="405"/>
      <c r="H221" s="405"/>
      <c r="I221" s="405"/>
      <c r="J221" s="405"/>
      <c r="K221" s="405"/>
      <c r="L221" s="405"/>
      <c r="M221" s="405"/>
      <c r="N221" s="406"/>
    </row>
    <row r="222" spans="3:18" ht="14.25" customHeight="1">
      <c r="C222" s="419"/>
      <c r="D222" s="407"/>
      <c r="E222" s="408"/>
      <c r="F222" s="408"/>
      <c r="G222" s="408"/>
      <c r="H222" s="408"/>
      <c r="I222" s="408"/>
      <c r="J222" s="408"/>
      <c r="K222" s="408"/>
      <c r="L222" s="408"/>
      <c r="M222" s="408"/>
      <c r="N222" s="409"/>
    </row>
    <row r="223" spans="3:18" ht="15.75" hidden="1" customHeight="1" outlineLevel="1">
      <c r="C223" s="419"/>
      <c r="D223" s="407"/>
      <c r="E223" s="408"/>
      <c r="F223" s="408"/>
      <c r="G223" s="408"/>
      <c r="H223" s="408"/>
      <c r="I223" s="408"/>
      <c r="J223" s="408"/>
      <c r="K223" s="408"/>
      <c r="L223" s="408"/>
      <c r="M223" s="408"/>
      <c r="N223" s="409"/>
    </row>
    <row r="224" spans="3:18" ht="15" hidden="1" outlineLevel="1" thickBot="1">
      <c r="C224" s="420"/>
      <c r="D224" s="410"/>
      <c r="E224" s="411"/>
      <c r="F224" s="411"/>
      <c r="G224" s="411"/>
      <c r="H224" s="411"/>
      <c r="I224" s="411"/>
      <c r="J224" s="411"/>
      <c r="K224" s="411"/>
      <c r="L224" s="411"/>
      <c r="M224" s="411"/>
      <c r="N224" s="412"/>
    </row>
    <row r="225" spans="3:14" ht="14.25" collapsed="1">
      <c r="C225" s="121"/>
      <c r="D225" s="413"/>
      <c r="E225" s="413"/>
      <c r="F225" s="413"/>
      <c r="G225" s="413"/>
      <c r="H225" s="413"/>
      <c r="I225" s="413"/>
      <c r="J225" s="413"/>
      <c r="K225" s="413"/>
      <c r="L225" s="413"/>
      <c r="M225" s="413"/>
      <c r="N225" s="413"/>
    </row>
    <row r="237" spans="3:14" customFormat="1">
      <c r="C237" s="122"/>
    </row>
    <row r="238" spans="3:14" customFormat="1">
      <c r="C238" s="123"/>
      <c r="J238" s="124"/>
    </row>
  </sheetData>
  <dataConsolidate link="1"/>
  <mergeCells count="290">
    <mergeCell ref="D2:N2"/>
    <mergeCell ref="D3:N3"/>
    <mergeCell ref="C4:C23"/>
    <mergeCell ref="D4:N4"/>
    <mergeCell ref="E5:N5"/>
    <mergeCell ref="E6:N6"/>
    <mergeCell ref="E7:N7"/>
    <mergeCell ref="E8:N8"/>
    <mergeCell ref="E9:N9"/>
    <mergeCell ref="E10:N10"/>
    <mergeCell ref="E17:N17"/>
    <mergeCell ref="E18:N18"/>
    <mergeCell ref="E19:N19"/>
    <mergeCell ref="E20:N20"/>
    <mergeCell ref="E21:N21"/>
    <mergeCell ref="E22:N22"/>
    <mergeCell ref="E11:N11"/>
    <mergeCell ref="E12:N12"/>
    <mergeCell ref="E13:N13"/>
    <mergeCell ref="E14:N14"/>
    <mergeCell ref="E15:N15"/>
    <mergeCell ref="E16:N16"/>
    <mergeCell ref="E23:N23"/>
    <mergeCell ref="C24:C41"/>
    <mergeCell ref="D24:N24"/>
    <mergeCell ref="D25:N25"/>
    <mergeCell ref="E26:G26"/>
    <mergeCell ref="H26:J26"/>
    <mergeCell ref="K26:N26"/>
    <mergeCell ref="E27:G27"/>
    <mergeCell ref="H27:J27"/>
    <mergeCell ref="K27:N27"/>
    <mergeCell ref="E33:N33"/>
    <mergeCell ref="E34:N34"/>
    <mergeCell ref="E35:N35"/>
    <mergeCell ref="E36:N36"/>
    <mergeCell ref="E37:H37"/>
    <mergeCell ref="I37:L37"/>
    <mergeCell ref="M37:N37"/>
    <mergeCell ref="D28:D31"/>
    <mergeCell ref="E28:N28"/>
    <mergeCell ref="E29:N29"/>
    <mergeCell ref="E30:N30"/>
    <mergeCell ref="E31:N31"/>
    <mergeCell ref="E32:N32"/>
    <mergeCell ref="E38:N38"/>
    <mergeCell ref="E39:H39"/>
    <mergeCell ref="I39:L39"/>
    <mergeCell ref="M39:N39"/>
    <mergeCell ref="D40:D41"/>
    <mergeCell ref="E40:H40"/>
    <mergeCell ref="I40:L40"/>
    <mergeCell ref="M40:N40"/>
    <mergeCell ref="E41:N41"/>
    <mergeCell ref="E51:N51"/>
    <mergeCell ref="E52:N52"/>
    <mergeCell ref="E53:N53"/>
    <mergeCell ref="D54:N54"/>
    <mergeCell ref="E58:N58"/>
    <mergeCell ref="E59:N59"/>
    <mergeCell ref="C42:C83"/>
    <mergeCell ref="D42:N42"/>
    <mergeCell ref="D43:N43"/>
    <mergeCell ref="D44:N44"/>
    <mergeCell ref="E45:N45"/>
    <mergeCell ref="E46:N46"/>
    <mergeCell ref="E47:N47"/>
    <mergeCell ref="E48:N48"/>
    <mergeCell ref="E49:N49"/>
    <mergeCell ref="E50:N50"/>
    <mergeCell ref="E64:F64"/>
    <mergeCell ref="G64:H64"/>
    <mergeCell ref="I64:J64"/>
    <mergeCell ref="K64:L64"/>
    <mergeCell ref="E65:F65"/>
    <mergeCell ref="G65:H65"/>
    <mergeCell ref="I65:J65"/>
    <mergeCell ref="K65:L65"/>
    <mergeCell ref="D60:N60"/>
    <mergeCell ref="D61:N61"/>
    <mergeCell ref="E62:N62"/>
    <mergeCell ref="E63:F63"/>
    <mergeCell ref="G63:H63"/>
    <mergeCell ref="I63:J63"/>
    <mergeCell ref="K63:L63"/>
    <mergeCell ref="E68:F68"/>
    <mergeCell ref="G68:H68"/>
    <mergeCell ref="I68:J68"/>
    <mergeCell ref="K68:L68"/>
    <mergeCell ref="E69:F69"/>
    <mergeCell ref="G69:H69"/>
    <mergeCell ref="I69:J69"/>
    <mergeCell ref="K69:L69"/>
    <mergeCell ref="E66:F66"/>
    <mergeCell ref="G66:H66"/>
    <mergeCell ref="I66:J66"/>
    <mergeCell ref="K66:L66"/>
    <mergeCell ref="E67:F67"/>
    <mergeCell ref="G67:H67"/>
    <mergeCell ref="I67:J67"/>
    <mergeCell ref="K67:L67"/>
    <mergeCell ref="E81:I81"/>
    <mergeCell ref="J81:N81"/>
    <mergeCell ref="E82:I82"/>
    <mergeCell ref="J82:N82"/>
    <mergeCell ref="E83:I83"/>
    <mergeCell ref="J83:N83"/>
    <mergeCell ref="E70:N70"/>
    <mergeCell ref="D71:N71"/>
    <mergeCell ref="E77:N77"/>
    <mergeCell ref="E78:N78"/>
    <mergeCell ref="D79:N79"/>
    <mergeCell ref="E80:N80"/>
    <mergeCell ref="I88:J88"/>
    <mergeCell ref="K88:N88"/>
    <mergeCell ref="E89:F89"/>
    <mergeCell ref="G89:H89"/>
    <mergeCell ref="I89:J89"/>
    <mergeCell ref="K89:N89"/>
    <mergeCell ref="C84:C108"/>
    <mergeCell ref="D84:N84"/>
    <mergeCell ref="E85:N85"/>
    <mergeCell ref="D86:D87"/>
    <mergeCell ref="E87:F87"/>
    <mergeCell ref="G87:H87"/>
    <mergeCell ref="I87:J87"/>
    <mergeCell ref="K87:N87"/>
    <mergeCell ref="E88:F88"/>
    <mergeCell ref="G88:H88"/>
    <mergeCell ref="E92:N92"/>
    <mergeCell ref="E93:N93"/>
    <mergeCell ref="D94:D96"/>
    <mergeCell ref="E94:N94"/>
    <mergeCell ref="E95:I95"/>
    <mergeCell ref="J95:N95"/>
    <mergeCell ref="E96:H96"/>
    <mergeCell ref="J96:N96"/>
    <mergeCell ref="E90:F90"/>
    <mergeCell ref="G90:H90"/>
    <mergeCell ref="I90:J90"/>
    <mergeCell ref="K90:N90"/>
    <mergeCell ref="E91:F91"/>
    <mergeCell ref="G91:H91"/>
    <mergeCell ref="I91:J91"/>
    <mergeCell ref="K91:N91"/>
    <mergeCell ref="E101:N101"/>
    <mergeCell ref="E102:N102"/>
    <mergeCell ref="E103:N103"/>
    <mergeCell ref="E104:N104"/>
    <mergeCell ref="E105:N105"/>
    <mergeCell ref="E106:N106"/>
    <mergeCell ref="E97:I97"/>
    <mergeCell ref="J97:N97"/>
    <mergeCell ref="E98:I98"/>
    <mergeCell ref="J98:N98"/>
    <mergeCell ref="D99:N99"/>
    <mergeCell ref="E100:N100"/>
    <mergeCell ref="E107:N107"/>
    <mergeCell ref="E108:N108"/>
    <mergeCell ref="C109:C120"/>
    <mergeCell ref="D109:N109"/>
    <mergeCell ref="E110:N110"/>
    <mergeCell ref="E111:N111"/>
    <mergeCell ref="E112:N112"/>
    <mergeCell ref="E115:F115"/>
    <mergeCell ref="E116:F116"/>
    <mergeCell ref="E118:N118"/>
    <mergeCell ref="E119:N119"/>
    <mergeCell ref="E120:N120"/>
    <mergeCell ref="C121:C164"/>
    <mergeCell ref="D121:N121"/>
    <mergeCell ref="E122:F122"/>
    <mergeCell ref="G122:I122"/>
    <mergeCell ref="J122:L122"/>
    <mergeCell ref="M122:N122"/>
    <mergeCell ref="E123:N123"/>
    <mergeCell ref="D124:N124"/>
    <mergeCell ref="E131:N131"/>
    <mergeCell ref="E132:N132"/>
    <mergeCell ref="E133:N133"/>
    <mergeCell ref="E134:N134"/>
    <mergeCell ref="E135:N135"/>
    <mergeCell ref="E136:N136"/>
    <mergeCell ref="E125:N125"/>
    <mergeCell ref="E126:N126"/>
    <mergeCell ref="E127:N127"/>
    <mergeCell ref="E128:N128"/>
    <mergeCell ref="E129:N129"/>
    <mergeCell ref="E130:N130"/>
    <mergeCell ref="E143:N143"/>
    <mergeCell ref="E144:N144"/>
    <mergeCell ref="E145:N145"/>
    <mergeCell ref="E146:N146"/>
    <mergeCell ref="E147:N147"/>
    <mergeCell ref="E148:N148"/>
    <mergeCell ref="E137:N137"/>
    <mergeCell ref="E138:N138"/>
    <mergeCell ref="E139:N139"/>
    <mergeCell ref="E140:N140"/>
    <mergeCell ref="E141:N141"/>
    <mergeCell ref="E142:N142"/>
    <mergeCell ref="E155:N155"/>
    <mergeCell ref="E156:N156"/>
    <mergeCell ref="E157:N157"/>
    <mergeCell ref="E158:N158"/>
    <mergeCell ref="E159:N159"/>
    <mergeCell ref="E160:N160"/>
    <mergeCell ref="E149:N149"/>
    <mergeCell ref="E150:N150"/>
    <mergeCell ref="E151:N151"/>
    <mergeCell ref="E152:N152"/>
    <mergeCell ref="E153:N153"/>
    <mergeCell ref="E154:N154"/>
    <mergeCell ref="E161:N161"/>
    <mergeCell ref="E162:N162"/>
    <mergeCell ref="E163:N163"/>
    <mergeCell ref="E164:N164"/>
    <mergeCell ref="C165:C212"/>
    <mergeCell ref="D165:N165"/>
    <mergeCell ref="E166:N166"/>
    <mergeCell ref="I167:J179"/>
    <mergeCell ref="N167:N179"/>
    <mergeCell ref="E180:N180"/>
    <mergeCell ref="E186:I186"/>
    <mergeCell ref="J186:N186"/>
    <mergeCell ref="E187:I187"/>
    <mergeCell ref="J187:N187"/>
    <mergeCell ref="E188:I188"/>
    <mergeCell ref="J188:N188"/>
    <mergeCell ref="E181:N181"/>
    <mergeCell ref="E182:N182"/>
    <mergeCell ref="E183:N183"/>
    <mergeCell ref="E184:I184"/>
    <mergeCell ref="J184:N184"/>
    <mergeCell ref="E185:I185"/>
    <mergeCell ref="J185:N185"/>
    <mergeCell ref="E193:F193"/>
    <mergeCell ref="G193:H193"/>
    <mergeCell ref="I193:N193"/>
    <mergeCell ref="E194:F194"/>
    <mergeCell ref="G194:H194"/>
    <mergeCell ref="I194:N194"/>
    <mergeCell ref="E189:N189"/>
    <mergeCell ref="E190:N190"/>
    <mergeCell ref="E191:F191"/>
    <mergeCell ref="G191:H191"/>
    <mergeCell ref="I191:N191"/>
    <mergeCell ref="E192:F192"/>
    <mergeCell ref="G192:H192"/>
    <mergeCell ref="I192:N192"/>
    <mergeCell ref="E197:F197"/>
    <mergeCell ref="G197:H197"/>
    <mergeCell ref="I197:N197"/>
    <mergeCell ref="E198:F198"/>
    <mergeCell ref="G198:H198"/>
    <mergeCell ref="I198:N198"/>
    <mergeCell ref="E195:F195"/>
    <mergeCell ref="G195:H195"/>
    <mergeCell ref="I195:N195"/>
    <mergeCell ref="E196:F196"/>
    <mergeCell ref="G196:H196"/>
    <mergeCell ref="I196:N196"/>
    <mergeCell ref="E201:N201"/>
    <mergeCell ref="E206:N206"/>
    <mergeCell ref="E207:N207"/>
    <mergeCell ref="E208:N208"/>
    <mergeCell ref="E209:N209"/>
    <mergeCell ref="E210:N210"/>
    <mergeCell ref="E199:F199"/>
    <mergeCell ref="G199:H199"/>
    <mergeCell ref="I199:N199"/>
    <mergeCell ref="E200:F200"/>
    <mergeCell ref="G200:H200"/>
    <mergeCell ref="I200:N200"/>
    <mergeCell ref="E220:N220"/>
    <mergeCell ref="E221:N221"/>
    <mergeCell ref="D222:N222"/>
    <mergeCell ref="D223:N223"/>
    <mergeCell ref="D224:N224"/>
    <mergeCell ref="D225:N225"/>
    <mergeCell ref="E211:N211"/>
    <mergeCell ref="E212:N212"/>
    <mergeCell ref="C213:C224"/>
    <mergeCell ref="D213:N213"/>
    <mergeCell ref="E214:N214"/>
    <mergeCell ref="E215:N215"/>
    <mergeCell ref="E216:N216"/>
    <mergeCell ref="E217:N217"/>
    <mergeCell ref="E218:N218"/>
    <mergeCell ref="E219:N219"/>
  </mergeCells>
  <hyperlinks>
    <hyperlink ref="R207" r:id="rId1" xr:uid="{690B37F6-ECC8-479A-BB5D-8A888ECCFD7C}"/>
    <hyperlink ref="R211" r:id="rId2" xr:uid="{9229F46B-03A9-423C-A009-00385AF62C25}"/>
    <hyperlink ref="E91" r:id="rId3" xr:uid="{22FD2A66-17B3-43D5-9713-82CEB823A4F8}"/>
    <hyperlink ref="K91" r:id="rId4" xr:uid="{0C3AAB0E-5977-4C69-BE86-FA0A479E8A88}"/>
    <hyperlink ref="G91" r:id="rId5" xr:uid="{16D0F7A7-2C9F-4DA8-B0BF-32EC9C6A6BCE}"/>
    <hyperlink ref="I91" r:id="rId6" xr:uid="{3E821356-41ED-4813-908E-61A27C1AD4A1}"/>
  </hyperlinks>
  <printOptions horizontalCentered="1"/>
  <pageMargins left="0.15748031496062992" right="0" top="0.19685039370078741" bottom="0" header="0" footer="3.937007874015748E-2"/>
  <pageSetup paperSize="9" scale="38" fitToHeight="3" orientation="portrait" r:id="rId7"/>
  <headerFooter alignWithMargins="0"/>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ПаспортРУС</vt:lpstr>
      <vt:lpstr>ПаспортEng</vt:lpstr>
      <vt:lpstr>Форма-отчета 22</vt:lpstr>
      <vt:lpstr>БП-Eng</vt:lpstr>
      <vt:lpstr>'БП-Eng'!Область_печати</vt:lpstr>
      <vt:lpstr>ПаспортEng!Область_печати</vt:lpstr>
      <vt:lpstr>ПаспортРУС!Область_печати</vt:lpstr>
      <vt:lpstr>'Форма-отчета 22'!Область_печати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Javohir O'rinov</dc:creator>
  <cp:lastModifiedBy>Nigmanov Zafar</cp:lastModifiedBy>
  <cp:lastPrinted>2021-03-26T05:55:34Z</cp:lastPrinted>
  <dcterms:created xsi:type="dcterms:W3CDTF">2021-03-10T09:12:21Z</dcterms:created>
  <dcterms:modified xsi:type="dcterms:W3CDTF">2021-03-26T05:57:38Z</dcterms:modified>
</cp:coreProperties>
</file>